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76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1"/>
  <c r="O22"/>
  <c r="N22"/>
  <c r="M22"/>
  <c r="L22"/>
  <c r="K22"/>
  <c r="J22"/>
  <c r="I22"/>
  <c r="H22"/>
  <c r="G22"/>
  <c r="F22"/>
  <c r="E22"/>
  <c r="D22"/>
  <c r="C22"/>
  <c r="V70"/>
  <c r="V69"/>
  <c r="V68"/>
  <c r="U70"/>
  <c r="U69"/>
  <c r="U68"/>
  <c r="T70"/>
  <c r="T69"/>
  <c r="T68"/>
  <c r="S70"/>
  <c r="S69"/>
  <c r="S68"/>
  <c r="R70"/>
  <c r="R69"/>
  <c r="R68"/>
  <c r="Q70"/>
  <c r="Q69"/>
  <c r="Q68"/>
  <c r="P70"/>
  <c r="P69"/>
  <c r="P68"/>
  <c r="O70"/>
  <c r="O69"/>
  <c r="O68"/>
  <c r="N70"/>
  <c r="N69"/>
  <c r="N68"/>
  <c r="M70"/>
  <c r="M69"/>
  <c r="M68"/>
  <c r="L70"/>
  <c r="L69"/>
  <c r="L68"/>
  <c r="K70"/>
  <c r="K69"/>
  <c r="K68"/>
  <c r="J70"/>
  <c r="J69"/>
  <c r="J68"/>
  <c r="I70"/>
  <c r="I69"/>
  <c r="I68"/>
  <c r="H70"/>
  <c r="H69"/>
  <c r="H68"/>
  <c r="G70"/>
  <c r="G69"/>
  <c r="G68"/>
  <c r="F70"/>
  <c r="F69"/>
  <c r="F68"/>
  <c r="N54"/>
  <c r="V54" s="1"/>
  <c r="N53"/>
  <c r="N52"/>
  <c r="M54"/>
  <c r="U54" s="1"/>
  <c r="M53"/>
  <c r="U53" s="1"/>
  <c r="M52"/>
  <c r="V52" s="1"/>
  <c r="L54"/>
  <c r="T54" s="1"/>
  <c r="L53"/>
  <c r="T53" s="1"/>
  <c r="L52"/>
  <c r="T52" s="1"/>
  <c r="K54"/>
  <c r="S54" s="1"/>
  <c r="K53"/>
  <c r="S53" s="1"/>
  <c r="K52"/>
  <c r="S52" s="1"/>
  <c r="J54"/>
  <c r="R54" s="1"/>
  <c r="J53"/>
  <c r="R53" s="1"/>
  <c r="J52"/>
  <c r="R52" s="1"/>
  <c r="I54"/>
  <c r="Q54" s="1"/>
  <c r="I53"/>
  <c r="Q53" s="1"/>
  <c r="I52"/>
  <c r="Q52" s="1"/>
  <c r="H54"/>
  <c r="P54" s="1"/>
  <c r="H53"/>
  <c r="P53" s="1"/>
  <c r="H52"/>
  <c r="P52" s="1"/>
  <c r="G54"/>
  <c r="O54" s="1"/>
  <c r="G53"/>
  <c r="O53" s="1"/>
  <c r="G52"/>
  <c r="O52" s="1"/>
  <c r="F54"/>
  <c r="F53"/>
  <c r="F52"/>
  <c r="N39"/>
  <c r="V39" s="1"/>
  <c r="M39"/>
  <c r="U39" s="1"/>
  <c r="L39"/>
  <c r="T39" s="1"/>
  <c r="K39"/>
  <c r="S39" s="1"/>
  <c r="J39"/>
  <c r="R39" s="1"/>
  <c r="I39"/>
  <c r="Q39" s="1"/>
  <c r="H39"/>
  <c r="P39" s="1"/>
  <c r="G39"/>
  <c r="O39" s="1"/>
  <c r="N38"/>
  <c r="V38" s="1"/>
  <c r="M38"/>
  <c r="U38" s="1"/>
  <c r="L38"/>
  <c r="T38" s="1"/>
  <c r="K38"/>
  <c r="S38" s="1"/>
  <c r="J38"/>
  <c r="R38" s="1"/>
  <c r="I38"/>
  <c r="Q38" s="1"/>
  <c r="H38"/>
  <c r="P38" s="1"/>
  <c r="G38"/>
  <c r="O38" s="1"/>
  <c r="N37"/>
  <c r="V37" s="1"/>
  <c r="M37"/>
  <c r="U37" s="1"/>
  <c r="L37"/>
  <c r="T37" s="1"/>
  <c r="K37"/>
  <c r="S37" s="1"/>
  <c r="J37"/>
  <c r="R37" s="1"/>
  <c r="I37"/>
  <c r="Q37" s="1"/>
  <c r="H37"/>
  <c r="P37" s="1"/>
  <c r="G37"/>
  <c r="O37" s="1"/>
  <c r="N36"/>
  <c r="V36" s="1"/>
  <c r="M36"/>
  <c r="U36" s="1"/>
  <c r="L36"/>
  <c r="T36" s="1"/>
  <c r="K36"/>
  <c r="S36" s="1"/>
  <c r="J36"/>
  <c r="R36" s="1"/>
  <c r="I36"/>
  <c r="Q36" s="1"/>
  <c r="H36"/>
  <c r="P36" s="1"/>
  <c r="G36"/>
  <c r="O36" s="1"/>
  <c r="F39"/>
  <c r="F38"/>
  <c r="F37"/>
  <c r="F36"/>
  <c r="N16"/>
  <c r="V16" s="1"/>
  <c r="M16"/>
  <c r="U16" s="1"/>
  <c r="L16"/>
  <c r="T16" s="1"/>
  <c r="J16"/>
  <c r="R16" s="1"/>
  <c r="K16"/>
  <c r="S16" s="1"/>
  <c r="I16"/>
  <c r="Q16" s="1"/>
  <c r="H16"/>
  <c r="P16" s="1"/>
  <c r="G16"/>
  <c r="O16" s="1"/>
  <c r="N15"/>
  <c r="V15" s="1"/>
  <c r="M15"/>
  <c r="U15" s="1"/>
  <c r="L15"/>
  <c r="T15" s="1"/>
  <c r="K15"/>
  <c r="S15" s="1"/>
  <c r="J15"/>
  <c r="R15" s="1"/>
  <c r="I15"/>
  <c r="Q15" s="1"/>
  <c r="H15"/>
  <c r="P15" s="1"/>
  <c r="G15"/>
  <c r="O15" s="1"/>
  <c r="J14"/>
  <c r="R14" s="1"/>
  <c r="N14"/>
  <c r="V14" s="1"/>
  <c r="M14"/>
  <c r="U14" s="1"/>
  <c r="L14"/>
  <c r="T14" s="1"/>
  <c r="K14"/>
  <c r="S14" s="1"/>
  <c r="I14"/>
  <c r="Q14" s="1"/>
  <c r="H14"/>
  <c r="P14" s="1"/>
  <c r="G14"/>
  <c r="O14" s="1"/>
  <c r="N13"/>
  <c r="V13" s="1"/>
  <c r="M13"/>
  <c r="U13" s="1"/>
  <c r="L13"/>
  <c r="T13" s="1"/>
  <c r="K13"/>
  <c r="S13" s="1"/>
  <c r="J13"/>
  <c r="R13" s="1"/>
  <c r="I13"/>
  <c r="Q13" s="1"/>
  <c r="H13"/>
  <c r="P13" s="1"/>
  <c r="G13"/>
  <c r="O13" s="1"/>
  <c r="M12"/>
  <c r="U12" s="1"/>
  <c r="L12"/>
  <c r="T12" s="1"/>
  <c r="I12"/>
  <c r="Q12" s="1"/>
  <c r="K12"/>
  <c r="S12" s="1"/>
  <c r="J12"/>
  <c r="R12" s="1"/>
  <c r="H12"/>
  <c r="P12" s="1"/>
  <c r="G12"/>
  <c r="O12" s="1"/>
  <c r="F15"/>
  <c r="F14"/>
  <c r="F13"/>
  <c r="F12"/>
  <c r="L11"/>
  <c r="T11" s="1"/>
  <c r="I11"/>
  <c r="Q11" s="1"/>
  <c r="M11"/>
  <c r="U11" s="1"/>
  <c r="N11"/>
  <c r="V11" s="1"/>
  <c r="N12"/>
  <c r="V12" s="1"/>
  <c r="K11"/>
  <c r="S11" s="1"/>
  <c r="J11"/>
  <c r="R11" s="1"/>
  <c r="H11"/>
  <c r="P11" s="1"/>
  <c r="F11"/>
  <c r="G11"/>
  <c r="O11" s="1"/>
  <c r="O62"/>
  <c r="N62"/>
  <c r="P61"/>
  <c r="O61"/>
  <c r="N61"/>
  <c r="M61"/>
  <c r="L61"/>
  <c r="K61"/>
  <c r="J61"/>
  <c r="I61"/>
  <c r="H61"/>
  <c r="G61"/>
  <c r="F61"/>
  <c r="E61"/>
  <c r="D61"/>
  <c r="C61"/>
  <c r="L60"/>
  <c r="U52" l="1"/>
</calcChain>
</file>

<file path=xl/sharedStrings.xml><?xml version="1.0" encoding="utf-8"?>
<sst xmlns="http://schemas.openxmlformats.org/spreadsheetml/2006/main" count="417" uniqueCount="207">
  <si>
    <t>Тип</t>
  </si>
  <si>
    <t>тарифа</t>
  </si>
  <si>
    <t>Срок</t>
  </si>
  <si>
    <t>дост.</t>
  </si>
  <si>
    <t>Коэф.</t>
  </si>
  <si>
    <t>кг/м3</t>
  </si>
  <si>
    <t>Мин. тарифы</t>
  </si>
  <si>
    <t>Основные тарифы</t>
  </si>
  <si>
    <t>До 50 кг, до 0,2 м3</t>
  </si>
  <si>
    <t>До 5 м3</t>
  </si>
  <si>
    <t>До 20 м3</t>
  </si>
  <si>
    <t>Экспресс</t>
  </si>
  <si>
    <t>Эконом</t>
  </si>
  <si>
    <t>Стандарт</t>
  </si>
  <si>
    <t>Из Москвы</t>
  </si>
  <si>
    <t>Из Санкт-петербурга</t>
  </si>
  <si>
    <t>Из Екатеринбурга</t>
  </si>
  <si>
    <t>- Бесплатно:сопровождение груза в пути,оповещение о прибытии груза,ответственность за кол-во принятых мест в соответствии с Договором.</t>
  </si>
  <si>
    <t xml:space="preserve">- Бесплатно: хранение на складе при отправлении, 2 раб. дня при получении. </t>
  </si>
  <si>
    <t>- Минимальная стоимость хранения на складе: 100 руб//сут</t>
  </si>
  <si>
    <t>- Негабаритный груз: вес 1-го места более 100кг или высота+длина+ширина более 3м. К цене применяется коэффициент Кн=1,2.</t>
  </si>
  <si>
    <t>- Режимный груз: при перевозке требуется t выше 0 грд. К цене применяется коэффициент Кр=1,3.Минимальная стоимост t режима 600руб.</t>
  </si>
  <si>
    <t xml:space="preserve">  - Платное хранение с 1-го дня с Кх=1,3.</t>
  </si>
  <si>
    <t>- Внутренний пересчет груза по накладным при приемке/выдаче: может быть заказан по желанию Клиента. К цене применяеся коэфф. Кп=2.</t>
  </si>
  <si>
    <t>- Запрет на размещение поверх груза другого груза (хрупкость): К цене применяется коэффициент Кх=1,3.</t>
  </si>
  <si>
    <t>- Восстановление комплекта бух. документов (акт, сч-фактура) - 100р. за 1 комплект</t>
  </si>
  <si>
    <t>ООО "Л-Транс"</t>
  </si>
  <si>
    <t>2 дня</t>
  </si>
  <si>
    <t>3 дня</t>
  </si>
  <si>
    <t>от 0 до 50</t>
  </si>
  <si>
    <t>от 50 до 100</t>
  </si>
  <si>
    <t>от 100 до 300</t>
  </si>
  <si>
    <t>от 300 до 500</t>
  </si>
  <si>
    <t>от 500 до 750</t>
  </si>
  <si>
    <t>от 750 до 1000</t>
  </si>
  <si>
    <t>от 1000 до 1250</t>
  </si>
  <si>
    <t>от 1250 до 1500</t>
  </si>
  <si>
    <t>от 1500 до 2000</t>
  </si>
  <si>
    <t>от 2000 до 3000</t>
  </si>
  <si>
    <t>от 3000 до 5000</t>
  </si>
  <si>
    <t>от 5000 до 10000</t>
  </si>
  <si>
    <t>от 10000 до 15000</t>
  </si>
  <si>
    <t>от 15000 до 20000</t>
  </si>
  <si>
    <t>Объем груза, м³</t>
  </si>
  <si>
    <t>от 0 до 0,3</t>
  </si>
  <si>
    <t>от 0,3 до 0,5</t>
  </si>
  <si>
    <t>от 0,5 до 2,0</t>
  </si>
  <si>
    <t>от 2,0 до 2,5</t>
  </si>
  <si>
    <t>от 2,5 до 4,0</t>
  </si>
  <si>
    <t>от 4,0 до 5,0</t>
  </si>
  <si>
    <t>от 5,0 до 6,0</t>
  </si>
  <si>
    <t>от 6,0 до 7,0</t>
  </si>
  <si>
    <t>от 7,0 до 10,0</t>
  </si>
  <si>
    <t>от 10,0 до 14,0</t>
  </si>
  <si>
    <t>от 14,0 до 20,0</t>
  </si>
  <si>
    <t>от 20,0 до 30,0</t>
  </si>
  <si>
    <t>от 30,0 до 40,0</t>
  </si>
  <si>
    <t>от 40,0 до 82,0</t>
  </si>
  <si>
    <t>MAX габар-ы: дл-а*шир-а*выс-а (м)</t>
  </si>
  <si>
    <t>до 0,6*0,6*0,6</t>
  </si>
  <si>
    <t>до 1,2*0,8*1,0</t>
  </si>
  <si>
    <t>до 2,0*1,7*1,70</t>
  </si>
  <si>
    <t>до 2,5*1,7*1,70</t>
  </si>
  <si>
    <t>до 3,0*1,70*1,70</t>
  </si>
  <si>
    <t>до 3,0*1,7*1,75</t>
  </si>
  <si>
    <t>до 3,8*1,8*1,9</t>
  </si>
  <si>
    <t>до 4,0*2,0*2,1</t>
  </si>
  <si>
    <t>до 5,0*2,1*2,1</t>
  </si>
  <si>
    <t>до 6,0*2,3*2,4</t>
  </si>
  <si>
    <t>до 8,0*2,4*2,4</t>
  </si>
  <si>
    <t>от 6,0*2,4*2,4</t>
  </si>
  <si>
    <t>Норм-ое. время на груз-ые операции (минут)</t>
  </si>
  <si>
    <t>Стоимость</t>
  </si>
  <si>
    <t>Въезд в ТТК</t>
  </si>
  <si>
    <t>Въезд в СК</t>
  </si>
  <si>
    <t>-</t>
  </si>
  <si>
    <t>Стоим-ть сверхнор-го времени за 0,5 час</t>
  </si>
  <si>
    <t>Стоимость одного км, за пределами МКАД*</t>
  </si>
  <si>
    <t>Минимальная стоимость экспедирования за пределами МКАД до 30 км:</t>
  </si>
  <si>
    <t xml:space="preserve">- Заявка принимается за сутки до 14:30 (Мск.) и выполняется не ранее, чем на следующий день после подтверждения готовности груза отправителем.               </t>
  </si>
  <si>
    <t>- Выполнение "срочной" заявки в день поступления увеличивает стоимость на 50% и выполняется по согласованию с отделом доставки.</t>
  </si>
  <si>
    <t>- Выполнение заявки в оговоренное время увеличивает стоимость на 50%. При сокращенном графике работы клиента - увеличение на 30%.</t>
  </si>
  <si>
    <t>- Холостой пробег: отказ Клиента от заявки после прибытия автомобиля. Клиент обязан оплатить 100% стоимости рассчитанной по заявке.</t>
  </si>
  <si>
    <t>- Мы приложим все возможные усилия для выполнения Вашей Заявки, но если Заявка поступила менее чем за сутки - не гарантируем ее исполнение.</t>
  </si>
  <si>
    <t xml:space="preserve">- Доставка в "ночное время" с 20:00 до 08:00 и вых. дни: по предварительной договоренности. Стоимость увеличивается на 50%. </t>
  </si>
  <si>
    <t>- В случае доставки/забора отправлений в выходные дни, стоимость  отправления увеличивается на 100%.</t>
  </si>
  <si>
    <t>- Клиент обязан возместить стоимость въезда на склад по расценкам склада. Заезд в офис за документами - 1000руб. Отметка в ТТН.</t>
  </si>
  <si>
    <t>- Доставка негабаритных грузов вызывающих затруднения при размещении в машине, имеющих длину более 3м - только по предварительной договоренности.</t>
  </si>
  <si>
    <t>- Стоимость экспедирования негабаритных грузов договорная( увеличивается не менее 50% к прайсу)</t>
  </si>
  <si>
    <t>- Если фактический вес/объем груза меньше указанного в заявке, сумма оплаты расчитывается на основании данных указанных в заявке.</t>
  </si>
  <si>
    <t>- Если вес/объем груза оказался значительно больше заявленного,решение о выполнении принимает Исполнитель.Стоимость по факт.весу/объему.</t>
  </si>
  <si>
    <t>- Для экспедирования минимальных грузов сумма измерений не должна превышать 120 см</t>
  </si>
  <si>
    <t>- Погрузка на складе Клиента силами Исполнителя: по договренности, если вес одного места не более 25кг. Оплата 200р/куб, 1р/кг.</t>
  </si>
  <si>
    <t>Стоимость забора/доставки груза по городу к месту погрузки/выгрузки**. (Автоэкспедирование) г. Москва</t>
  </si>
  <si>
    <t>Стоимость забора/доставки груза по городу к месту погрузки/выгрузки**. (Автоэкспедирование) г. Пермь</t>
  </si>
  <si>
    <t>Стоимость забора/доставки груза по городу к месту погрузки/выгрузки**. (Автоэкспедирование) г. Санкт-Петербург</t>
  </si>
  <si>
    <t>Стоимость забора/доставки груза по городу к месту погрузки/выгрузки**. (Автоэкспедирование) г. Екатеринбург</t>
  </si>
  <si>
    <t>0-24</t>
  </si>
  <si>
    <t>25-49</t>
  </si>
  <si>
    <t>50-100</t>
  </si>
  <si>
    <t>101-200</t>
  </si>
  <si>
    <t>201-300</t>
  </si>
  <si>
    <t>301-500</t>
  </si>
  <si>
    <t>501-700</t>
  </si>
  <si>
    <t>701-1000</t>
  </si>
  <si>
    <t>1001-1500</t>
  </si>
  <si>
    <t>1501-2000</t>
  </si>
  <si>
    <t>2001-2500</t>
  </si>
  <si>
    <t>2501-3000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</si>
  <si>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</si>
  <si>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</si>
  <si>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</si>
  <si>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</si>
  <si>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</si>
  <si>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</si>
  <si>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</si>
  <si>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Прим.</t>
  </si>
  <si>
    <t>0-0,09</t>
  </si>
  <si>
    <t>0,1-0,2</t>
  </si>
  <si>
    <t>0,21-0,6</t>
  </si>
  <si>
    <t>0,61-1,0</t>
  </si>
  <si>
    <t>1,01-1,3</t>
  </si>
  <si>
    <t>1,31-2,0</t>
  </si>
  <si>
    <t>2,01-3,0</t>
  </si>
  <si>
    <t>3,01-4,0</t>
  </si>
  <si>
    <t>4,01-7,5</t>
  </si>
  <si>
    <t>7,51-10,0</t>
  </si>
  <si>
    <t>10,01-12,0</t>
  </si>
  <si>
    <t>12,01-15,0</t>
  </si>
  <si>
    <t>15,01-20,0</t>
  </si>
  <si>
    <t>20,01-23,0</t>
  </si>
  <si>
    <t>23,01-27,0</t>
  </si>
  <si>
    <t>27,01-35,0</t>
  </si>
  <si>
    <t>35,01-40,0</t>
  </si>
  <si>
    <t>40,01-45,0</t>
  </si>
  <si>
    <t>45,01-50,0</t>
  </si>
  <si>
    <t>По городу+(см. ниже)</t>
  </si>
  <si>
    <t>Время загрузки, выгрузки, мин.</t>
  </si>
  <si>
    <t>Время от прибытия до убытия</t>
  </si>
  <si>
    <t>Стоим. сверхнорм. времени за 0,5 часа</t>
  </si>
  <si>
    <t>за полные и не полные 0,5 часа</t>
  </si>
  <si>
    <t>Пермский край, руб./км.</t>
  </si>
  <si>
    <t>догов</t>
  </si>
  <si>
    <t>Из Перми</t>
  </si>
  <si>
    <t xml:space="preserve">Стоимость одного км, за пределами </t>
  </si>
  <si>
    <t>Стоимость одного км, за пределами КАД*</t>
  </si>
  <si>
    <t xml:space="preserve">До 200 </t>
  </si>
  <si>
    <t>До 500</t>
  </si>
  <si>
    <t>До 1 т</t>
  </si>
  <si>
    <t>До 2 т</t>
  </si>
  <si>
    <t>До 3 т</t>
  </si>
  <si>
    <t>До 4 т</t>
  </si>
  <si>
    <t>До 5 т</t>
  </si>
  <si>
    <t>От 5 т</t>
  </si>
  <si>
    <t>До 1 м3</t>
  </si>
  <si>
    <t>До 2,5 м3</t>
  </si>
  <si>
    <t>До 10 м3</t>
  </si>
  <si>
    <t>До 15 м3</t>
  </si>
  <si>
    <t>До 25 м3</t>
  </si>
  <si>
    <t>От 25 м3</t>
  </si>
  <si>
    <t>дог.</t>
  </si>
  <si>
    <t>Москва</t>
  </si>
  <si>
    <t>Пермь</t>
  </si>
  <si>
    <t>Екатеринбург</t>
  </si>
  <si>
    <t>город</t>
  </si>
  <si>
    <t>вес груза</t>
  </si>
  <si>
    <t xml:space="preserve">- Изготовление транспортной тары (обрешетка): по предварит. договоренности и заявке Клиента. Стоимость 1500 руб/куб, увел. объема на 15%. </t>
  </si>
  <si>
    <t xml:space="preserve">- Возврат документов (ТТН) Отправителю с подписью (отметкой) Получателя - 350 руб; </t>
  </si>
  <si>
    <t>- Допустимая погрешность в измерении-расчете веса, объема +/- 15%, по желанию перемер в присутствии Клиента и составление Акта.</t>
  </si>
  <si>
    <t>**Приведены справочные сведения. Точная сумма рассчитывается при приеме заявки.</t>
  </si>
  <si>
    <t>Сургут</t>
  </si>
  <si>
    <t>Санкт-Петербург</t>
  </si>
  <si>
    <t>Стоимость без температурного режима</t>
  </si>
  <si>
    <t>Стоимость с температурным режимом</t>
  </si>
  <si>
    <t>до 50 кг и до 0,3 куб.м - 1700 руб.</t>
  </si>
  <si>
    <t>до 100 кг и до 0,5 куб.м - 2000 руб.</t>
  </si>
  <si>
    <t>до 500 кг и до 3 куб.м - 2500 руб.</t>
  </si>
  <si>
    <t>до 1000 кг и до 5 куб.м - 3000 руб.</t>
  </si>
  <si>
    <t>до 5,0*2,1*2,2</t>
  </si>
  <si>
    <t>970</t>
  </si>
  <si>
    <t>2090</t>
  </si>
  <si>
    <t>2470</t>
  </si>
  <si>
    <t>2940</t>
  </si>
  <si>
    <t>3380</t>
  </si>
  <si>
    <t>3690</t>
  </si>
  <si>
    <t>4770</t>
  </si>
  <si>
    <t>6380</t>
  </si>
  <si>
    <t>11000</t>
  </si>
  <si>
    <t>13000</t>
  </si>
  <si>
    <t>17000</t>
  </si>
  <si>
    <t>19000</t>
  </si>
  <si>
    <t>26</t>
  </si>
  <si>
    <t>28</t>
  </si>
  <si>
    <t>30</t>
  </si>
  <si>
    <t>40</t>
  </si>
  <si>
    <t>43</t>
  </si>
  <si>
    <t>Т   Ы  С  Я  Ч  И     К  И  Л  О  М  Е  Т  Р  О  В     У  С  П  Е  Х  А !!!</t>
  </si>
  <si>
    <t>1350</t>
  </si>
  <si>
    <t>5 дней</t>
  </si>
  <si>
    <t>3-4 дня</t>
  </si>
  <si>
    <t>1 день</t>
  </si>
  <si>
    <t>8 - 12 дней</t>
  </si>
  <si>
    <t>2-3 суток</t>
  </si>
  <si>
    <t>3-4 суток</t>
  </si>
  <si>
    <t>4-5 суток</t>
  </si>
  <si>
    <t>1-2 суток</t>
  </si>
  <si>
    <t>3-5 суток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</si>
</sst>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4"/>
      <name val="Arial Cyr"/>
      <family val="2"/>
      <charset val="204"/>
    </font>
    <font>
      <sz val="14"/>
      <name val="Arial"/>
      <family val="2"/>
      <charset val="204"/>
    </font>
    <font>
      <b/>
      <sz val="14"/>
      <color rgb="FFFFC000"/>
      <name val="Times New Roman"/>
      <family val="1"/>
      <charset val="204"/>
    </font>
    <font>
      <sz val="14"/>
      <color rgb="FFFFC00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u/>
      <sz val="28"/>
      <color rgb="FFFFC000"/>
      <name val="Cambria"/>
      <family val="1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u/>
      <sz val="28"/>
      <color rgb="FFF67408"/>
      <name val="Cambria"/>
      <family val="1"/>
      <charset val="204"/>
    </font>
    <font>
      <sz val="11"/>
      <color rgb="FFF67408"/>
      <name val="Calibri"/>
      <family val="2"/>
      <charset val="204"/>
      <scheme val="minor"/>
    </font>
    <font>
      <b/>
      <i/>
      <sz val="14"/>
      <color rgb="FFF67408"/>
      <name val="Arial Cyr"/>
      <charset val="204"/>
    </font>
    <font>
      <sz val="20"/>
      <color rgb="FFF67408"/>
      <name val="Calibri"/>
      <family val="2"/>
      <charset val="204"/>
      <scheme val="minor"/>
    </font>
    <font>
      <sz val="22"/>
      <color rgb="FFF6740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7408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>
      <alignment vertical="center"/>
    </xf>
  </cellStyleXfs>
  <cellXfs count="8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0" applyFont="1"/>
    <xf numFmtId="0" fontId="14" fillId="0" borderId="0" xfId="0" applyFont="1"/>
    <xf numFmtId="1" fontId="15" fillId="0" borderId="1" xfId="1" applyNumberFormat="1" applyFont="1" applyBorder="1" applyAlignment="1">
      <alignment horizontal="center" vertical="center" wrapText="1"/>
    </xf>
    <xf numFmtId="0" fontId="1" fillId="0" borderId="0" xfId="0" applyFont="1"/>
    <xf numFmtId="0" fontId="17" fillId="0" borderId="0" xfId="0" applyFont="1"/>
    <xf numFmtId="164" fontId="15" fillId="0" borderId="1" xfId="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21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9" fillId="0" borderId="0" xfId="1" applyFont="1" applyAlignment="1">
      <alignment wrapText="1"/>
    </xf>
    <xf numFmtId="1" fontId="21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0" applyFont="1"/>
    <xf numFmtId="0" fontId="15" fillId="0" borderId="0" xfId="0" applyFont="1"/>
    <xf numFmtId="0" fontId="0" fillId="0" borderId="1" xfId="0" applyBorder="1" applyAlignment="1">
      <alignment horizontal="center" vertical="center"/>
    </xf>
    <xf numFmtId="0" fontId="28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5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wrapText="1"/>
    </xf>
    <xf numFmtId="21" fontId="20" fillId="0" borderId="1" xfId="0" applyNumberFormat="1" applyFont="1" applyBorder="1" applyAlignment="1">
      <alignment horizontal="center" wrapText="1"/>
    </xf>
    <xf numFmtId="1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17" fillId="0" borderId="1" xfId="0" applyFont="1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3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vertical="center" wrapText="1"/>
    </xf>
    <xf numFmtId="49" fontId="21" fillId="3" borderId="1" xfId="1" applyNumberFormat="1" applyFont="1" applyFill="1" applyBorder="1" applyAlignment="1">
      <alignment horizontal="center" vertical="center"/>
    </xf>
    <xf numFmtId="1" fontId="21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16" fontId="9" fillId="2" borderId="1" xfId="0" applyNumberFormat="1" applyFont="1" applyFill="1" applyBorder="1" applyAlignment="1">
      <alignment wrapText="1"/>
    </xf>
    <xf numFmtId="2" fontId="9" fillId="3" borderId="1" xfId="0" applyNumberFormat="1" applyFont="1" applyFill="1" applyBorder="1" applyAlignment="1">
      <alignment horizontal="right" wrapText="1"/>
    </xf>
    <xf numFmtId="1" fontId="9" fillId="3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0" fontId="28" fillId="5" borderId="1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left" vertical="center"/>
    </xf>
    <xf numFmtId="1" fontId="15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wrapText="1"/>
    </xf>
    <xf numFmtId="164" fontId="15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1" fontId="20" fillId="0" borderId="1" xfId="0" applyNumberFormat="1" applyFont="1" applyFill="1" applyBorder="1" applyAlignment="1">
      <alignment horizontal="center" wrapText="1"/>
    </xf>
    <xf numFmtId="0" fontId="32" fillId="0" borderId="1" xfId="1" applyFont="1" applyFill="1" applyBorder="1" applyAlignment="1">
      <alignment wrapText="1"/>
    </xf>
    <xf numFmtId="49" fontId="33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left" vertical="center"/>
    </xf>
    <xf numFmtId="49" fontId="27" fillId="4" borderId="1" xfId="1" applyNumberFormat="1" applyFont="1" applyFill="1" applyBorder="1" applyAlignment="1">
      <alignment horizontal="center" vertical="center"/>
    </xf>
    <xf numFmtId="49" fontId="22" fillId="0" borderId="1" xfId="1" applyNumberFormat="1" applyFont="1" applyBorder="1" applyAlignment="1">
      <alignment horizontal="left"/>
    </xf>
    <xf numFmtId="49" fontId="23" fillId="0" borderId="1" xfId="1" applyNumberFormat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674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472760</xdr:colOff>
      <xdr:row>0</xdr:row>
      <xdr:rowOff>0</xdr:rowOff>
    </xdr:from>
    <xdr:to>
      <xdr:col>22</xdr:col>
      <xdr:colOff>0</xdr:colOff>
      <xdr:row>6</xdr:row>
      <xdr:rowOff>327422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ACBE8C0A-BA49-4C66-AEB0-E33CD3E15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071" t="10295" r="12910" b="15687"/>
        <a:stretch/>
      </xdr:blipFill>
      <xdr:spPr>
        <a:xfrm>
          <a:off x="14051838" y="0"/>
          <a:ext cx="1837054" cy="183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111"/>
  <sheetViews>
    <sheetView tabSelected="1" zoomScale="70" zoomScaleNormal="70" workbookViewId="0">
      <selection activeCell="C22" sqref="C22"/>
    </sheetView>
  </sheetViews>
  <sheetFormatPr defaultRowHeight="15"/>
  <cols>
    <col min="1" max="1" width="2.140625" customWidth="1"/>
    <col min="2" max="2" width="21.140625" customWidth="1"/>
    <col min="3" max="3" width="12.140625" customWidth="1"/>
    <col min="4" max="4" width="13.140625" customWidth="1"/>
    <col min="5" max="5" width="11.5703125" customWidth="1"/>
    <col min="6" max="6" width="10.7109375" customWidth="1"/>
    <col min="7" max="7" width="9.7109375" bestFit="1" customWidth="1"/>
    <col min="8" max="12" width="9.5703125" bestFit="1" customWidth="1"/>
    <col min="13" max="13" width="8.7109375" customWidth="1"/>
    <col min="14" max="14" width="12.140625" customWidth="1"/>
    <col min="15" max="15" width="10.85546875" customWidth="1"/>
    <col min="16" max="16" width="12.7109375" customWidth="1"/>
    <col min="17" max="17" width="10.85546875" customWidth="1"/>
    <col min="18" max="18" width="11.85546875" customWidth="1"/>
    <col min="19" max="19" width="13" customWidth="1"/>
    <col min="20" max="20" width="12.85546875" customWidth="1"/>
    <col min="21" max="22" width="10.85546875" customWidth="1"/>
  </cols>
  <sheetData>
    <row r="3" spans="2:22">
      <c r="B3" s="70" t="s">
        <v>26</v>
      </c>
      <c r="C3" s="70"/>
      <c r="D3" s="70"/>
      <c r="E3" s="70"/>
      <c r="F3" s="6"/>
      <c r="G3" s="6"/>
      <c r="H3" s="6"/>
      <c r="I3" s="6"/>
      <c r="J3" s="6"/>
    </row>
    <row r="4" spans="2:22" ht="15" customHeight="1">
      <c r="B4" s="70"/>
      <c r="C4" s="70"/>
      <c r="D4" s="70"/>
      <c r="E4" s="70"/>
      <c r="F4" s="6"/>
      <c r="G4" s="6"/>
      <c r="H4" s="6"/>
      <c r="I4" s="6"/>
      <c r="J4" s="6"/>
    </row>
    <row r="5" spans="2:22" ht="44.25" customHeight="1">
      <c r="B5" s="71" t="s">
        <v>196</v>
      </c>
      <c r="C5" s="71"/>
      <c r="D5" s="71"/>
      <c r="E5" s="71"/>
      <c r="F5" s="71"/>
      <c r="G5" s="71"/>
      <c r="H5" s="71"/>
      <c r="I5" s="71"/>
      <c r="J5" s="71"/>
      <c r="K5" s="4"/>
      <c r="L5" s="5"/>
      <c r="M5" s="2"/>
    </row>
    <row r="6" spans="2:22" ht="15" customHeight="1">
      <c r="B6" s="6"/>
      <c r="C6" s="6"/>
      <c r="D6" s="6"/>
      <c r="E6" s="6"/>
      <c r="F6" s="6"/>
      <c r="G6" s="6"/>
      <c r="H6" s="6"/>
      <c r="I6" s="6"/>
      <c r="J6" s="6"/>
    </row>
    <row r="7" spans="2:22" ht="27" customHeight="1">
      <c r="B7" s="7" t="s">
        <v>14</v>
      </c>
      <c r="C7" s="6"/>
      <c r="D7" s="6"/>
      <c r="E7" s="6"/>
      <c r="F7" s="6"/>
      <c r="G7" s="6"/>
      <c r="H7" s="6"/>
      <c r="I7" s="6"/>
      <c r="J7" s="6"/>
    </row>
    <row r="8" spans="2:22" ht="15.75" customHeight="1">
      <c r="B8" s="72" t="s">
        <v>164</v>
      </c>
      <c r="C8" s="53" t="s">
        <v>0</v>
      </c>
      <c r="D8" s="53" t="s">
        <v>2</v>
      </c>
      <c r="E8" s="53" t="s">
        <v>4</v>
      </c>
      <c r="F8" s="73" t="s">
        <v>6</v>
      </c>
      <c r="G8" s="75" t="s">
        <v>7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</row>
    <row r="9" spans="2:22" ht="15.75">
      <c r="B9" s="72"/>
      <c r="C9" s="53" t="s">
        <v>1</v>
      </c>
      <c r="D9" s="53" t="s">
        <v>3</v>
      </c>
      <c r="E9" s="53" t="s">
        <v>5</v>
      </c>
      <c r="F9" s="73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0" spans="2:22" ht="27" customHeight="1">
      <c r="B10" s="72"/>
      <c r="C10" s="54"/>
      <c r="D10" s="54"/>
      <c r="E10" s="54"/>
      <c r="F10" s="24" t="s">
        <v>8</v>
      </c>
      <c r="G10" s="25" t="s">
        <v>146</v>
      </c>
      <c r="H10" s="25" t="s">
        <v>147</v>
      </c>
      <c r="I10" s="25" t="s">
        <v>148</v>
      </c>
      <c r="J10" s="25" t="s">
        <v>149</v>
      </c>
      <c r="K10" s="25" t="s">
        <v>150</v>
      </c>
      <c r="L10" s="25" t="s">
        <v>151</v>
      </c>
      <c r="M10" s="25" t="s">
        <v>152</v>
      </c>
      <c r="N10" s="25" t="s">
        <v>153</v>
      </c>
      <c r="O10" s="25" t="s">
        <v>154</v>
      </c>
      <c r="P10" s="25" t="s">
        <v>155</v>
      </c>
      <c r="Q10" s="25" t="s">
        <v>9</v>
      </c>
      <c r="R10" s="25" t="s">
        <v>156</v>
      </c>
      <c r="S10" s="25" t="s">
        <v>157</v>
      </c>
      <c r="T10" s="25" t="s">
        <v>10</v>
      </c>
      <c r="U10" s="25" t="s">
        <v>158</v>
      </c>
      <c r="V10" s="25" t="s">
        <v>159</v>
      </c>
    </row>
    <row r="11" spans="2:22" ht="15.95" customHeight="1">
      <c r="B11" s="25" t="s">
        <v>162</v>
      </c>
      <c r="C11" s="25" t="s">
        <v>11</v>
      </c>
      <c r="D11" s="47" t="s">
        <v>27</v>
      </c>
      <c r="E11" s="25">
        <v>250</v>
      </c>
      <c r="F11" s="45">
        <f>550*1.2</f>
        <v>660</v>
      </c>
      <c r="G11" s="48">
        <f>15.82*1.2</f>
        <v>18.983999999999998</v>
      </c>
      <c r="H11" s="45">
        <f>15.15*1.2</f>
        <v>18.18</v>
      </c>
      <c r="I11" s="48">
        <f>14.8*1.2</f>
        <v>17.760000000000002</v>
      </c>
      <c r="J11" s="48">
        <f>14.11*1.2</f>
        <v>16.931999999999999</v>
      </c>
      <c r="K11" s="48">
        <f>13.86*1.2</f>
        <v>16.631999999999998</v>
      </c>
      <c r="L11" s="48">
        <f>13.5*1.2</f>
        <v>16.2</v>
      </c>
      <c r="M11" s="48">
        <f>13.06*1.2</f>
        <v>15.672000000000001</v>
      </c>
      <c r="N11" s="45">
        <f>12.55*1.2</f>
        <v>15.06</v>
      </c>
      <c r="O11" s="45">
        <f t="shared" ref="O11:O16" si="0">E11*G11</f>
        <v>4746</v>
      </c>
      <c r="P11" s="46">
        <f t="shared" ref="P11:P16" si="1">E11*H11</f>
        <v>4545</v>
      </c>
      <c r="Q11" s="46">
        <f t="shared" ref="Q11:Q16" si="2">E11*I11</f>
        <v>4440</v>
      </c>
      <c r="R11" s="46">
        <f t="shared" ref="R11:R16" si="3">E11*J11</f>
        <v>4233</v>
      </c>
      <c r="S11" s="46">
        <f t="shared" ref="S11:S16" si="4">E11*K11</f>
        <v>4157.9999999999991</v>
      </c>
      <c r="T11" s="46">
        <f t="shared" ref="T11:T16" si="5">E11*L11</f>
        <v>4050</v>
      </c>
      <c r="U11" s="46">
        <f t="shared" ref="U11:U16" si="6">E11*M11</f>
        <v>3918</v>
      </c>
      <c r="V11" s="46">
        <f t="shared" ref="V11:V16" si="7">E11*N11</f>
        <v>3765</v>
      </c>
    </row>
    <row r="12" spans="2:22" ht="15.95" customHeight="1">
      <c r="B12" s="25" t="s">
        <v>162</v>
      </c>
      <c r="C12" s="25" t="s">
        <v>13</v>
      </c>
      <c r="D12" s="25" t="s">
        <v>28</v>
      </c>
      <c r="E12" s="25">
        <v>250</v>
      </c>
      <c r="F12" s="49">
        <f>396*1.2</f>
        <v>475.2</v>
      </c>
      <c r="G12" s="48">
        <f>14.38*1.2</f>
        <v>17.256</v>
      </c>
      <c r="H12" s="48">
        <f>13.78*1.2</f>
        <v>16.535999999999998</v>
      </c>
      <c r="I12" s="48">
        <f>13.58*1.2</f>
        <v>16.295999999999999</v>
      </c>
      <c r="J12" s="48">
        <f>12.83*1.2</f>
        <v>15.395999999999999</v>
      </c>
      <c r="K12" s="48">
        <f>12.6*1.2</f>
        <v>15.12</v>
      </c>
      <c r="L12" s="48">
        <f>11.88*1.2</f>
        <v>14.256</v>
      </c>
      <c r="M12" s="48">
        <f>11.68*1.2</f>
        <v>14.016</v>
      </c>
      <c r="N12" s="48">
        <f>11.41*1.2</f>
        <v>13.692</v>
      </c>
      <c r="O12" s="45">
        <f t="shared" si="0"/>
        <v>4314</v>
      </c>
      <c r="P12" s="45">
        <f t="shared" si="1"/>
        <v>4133.9999999999991</v>
      </c>
      <c r="Q12" s="45">
        <f t="shared" si="2"/>
        <v>4074</v>
      </c>
      <c r="R12" s="45">
        <f t="shared" si="3"/>
        <v>3848.9999999999995</v>
      </c>
      <c r="S12" s="45">
        <f t="shared" si="4"/>
        <v>3780</v>
      </c>
      <c r="T12" s="45">
        <f t="shared" si="5"/>
        <v>3564</v>
      </c>
      <c r="U12" s="45">
        <f t="shared" si="6"/>
        <v>3504</v>
      </c>
      <c r="V12" s="45">
        <f t="shared" si="7"/>
        <v>3423</v>
      </c>
    </row>
    <row r="13" spans="2:22" ht="15.95" customHeight="1">
      <c r="B13" s="25" t="s">
        <v>162</v>
      </c>
      <c r="C13" s="25" t="s">
        <v>12</v>
      </c>
      <c r="D13" s="25" t="s">
        <v>198</v>
      </c>
      <c r="E13" s="25">
        <v>250</v>
      </c>
      <c r="F13" s="49">
        <f>396*1.2</f>
        <v>475.2</v>
      </c>
      <c r="G13" s="48">
        <f>12.95*1.2</f>
        <v>15.54</v>
      </c>
      <c r="H13" s="48">
        <f>12.41*1.2</f>
        <v>14.891999999999999</v>
      </c>
      <c r="I13" s="48">
        <f>12.21*1.2</f>
        <v>14.652000000000001</v>
      </c>
      <c r="J13" s="48">
        <f>11.55*1.2</f>
        <v>13.860000000000001</v>
      </c>
      <c r="K13" s="48">
        <f>11.34*1.2</f>
        <v>13.607999999999999</v>
      </c>
      <c r="L13" s="48">
        <f>10.69*1.2</f>
        <v>12.827999999999999</v>
      </c>
      <c r="M13" s="48">
        <f>10.49*1.2</f>
        <v>12.587999999999999</v>
      </c>
      <c r="N13" s="48">
        <f>10.27*1.2</f>
        <v>12.324</v>
      </c>
      <c r="O13" s="45">
        <f t="shared" si="0"/>
        <v>3885</v>
      </c>
      <c r="P13" s="45">
        <f t="shared" si="1"/>
        <v>3723</v>
      </c>
      <c r="Q13" s="45">
        <f t="shared" si="2"/>
        <v>3663.0000000000005</v>
      </c>
      <c r="R13" s="45">
        <f t="shared" si="3"/>
        <v>3465.0000000000005</v>
      </c>
      <c r="S13" s="45">
        <f t="shared" si="4"/>
        <v>3401.9999999999995</v>
      </c>
      <c r="T13" s="45">
        <f t="shared" si="5"/>
        <v>3207</v>
      </c>
      <c r="U13" s="45">
        <f t="shared" si="6"/>
        <v>3147</v>
      </c>
      <c r="V13" s="45">
        <f t="shared" si="7"/>
        <v>3081</v>
      </c>
    </row>
    <row r="14" spans="2:22" ht="15.95" customHeight="1">
      <c r="B14" s="25" t="s">
        <v>163</v>
      </c>
      <c r="C14" s="25" t="s">
        <v>13</v>
      </c>
      <c r="D14" s="25" t="s">
        <v>199</v>
      </c>
      <c r="E14" s="25">
        <v>250</v>
      </c>
      <c r="F14" s="45">
        <f>495*1.2</f>
        <v>594</v>
      </c>
      <c r="G14" s="50">
        <f>14.91*1.2</f>
        <v>17.891999999999999</v>
      </c>
      <c r="H14" s="50">
        <f>14.49*1.2</f>
        <v>17.387999999999998</v>
      </c>
      <c r="I14" s="50">
        <f>14.29*1.2</f>
        <v>17.148</v>
      </c>
      <c r="J14" s="50">
        <f>14.09*1.2</f>
        <v>16.907999999999998</v>
      </c>
      <c r="K14" s="50">
        <f>13.9*1.2</f>
        <v>16.68</v>
      </c>
      <c r="L14" s="50">
        <f>13.75*1.2</f>
        <v>16.5</v>
      </c>
      <c r="M14" s="50">
        <f>13.55*1.2</f>
        <v>16.260000000000002</v>
      </c>
      <c r="N14" s="50">
        <f>13.44*1.2</f>
        <v>16.128</v>
      </c>
      <c r="O14" s="51">
        <f t="shared" si="0"/>
        <v>4473</v>
      </c>
      <c r="P14" s="51">
        <f t="shared" si="1"/>
        <v>4346.9999999999991</v>
      </c>
      <c r="Q14" s="51">
        <f t="shared" si="2"/>
        <v>4287</v>
      </c>
      <c r="R14" s="51">
        <f t="shared" si="3"/>
        <v>4226.9999999999991</v>
      </c>
      <c r="S14" s="51">
        <f t="shared" si="4"/>
        <v>4170</v>
      </c>
      <c r="T14" s="51">
        <f t="shared" si="5"/>
        <v>4125</v>
      </c>
      <c r="U14" s="51">
        <f t="shared" si="6"/>
        <v>4065.0000000000005</v>
      </c>
      <c r="V14" s="51">
        <f t="shared" si="7"/>
        <v>4032</v>
      </c>
    </row>
    <row r="15" spans="2:22" ht="15.95" customHeight="1">
      <c r="B15" s="25" t="s">
        <v>171</v>
      </c>
      <c r="C15" s="25" t="s">
        <v>13</v>
      </c>
      <c r="D15" s="25" t="s">
        <v>200</v>
      </c>
      <c r="E15" s="25">
        <v>250</v>
      </c>
      <c r="F15" s="45">
        <f>495*1.2</f>
        <v>594</v>
      </c>
      <c r="G15" s="48">
        <f>9.27*1.2</f>
        <v>11.123999999999999</v>
      </c>
      <c r="H15" s="48">
        <f>8.87*1.2</f>
        <v>10.643999999999998</v>
      </c>
      <c r="I15" s="48">
        <f>8.62*1.2</f>
        <v>10.343999999999999</v>
      </c>
      <c r="J15" s="48">
        <f>8.36*1.2</f>
        <v>10.031999999999998</v>
      </c>
      <c r="K15" s="48">
        <f>8.09*1.2</f>
        <v>9.7080000000000002</v>
      </c>
      <c r="L15" s="48">
        <f>7.83*1.2</f>
        <v>9.395999999999999</v>
      </c>
      <c r="M15" s="48">
        <f>7.57*1.2</f>
        <v>9.0839999999999996</v>
      </c>
      <c r="N15" s="48">
        <f>7.18*1.2</f>
        <v>8.6159999999999997</v>
      </c>
      <c r="O15" s="45">
        <f t="shared" si="0"/>
        <v>2780.9999999999995</v>
      </c>
      <c r="P15" s="45">
        <f t="shared" si="1"/>
        <v>2660.9999999999995</v>
      </c>
      <c r="Q15" s="45">
        <f t="shared" si="2"/>
        <v>2586</v>
      </c>
      <c r="R15" s="45">
        <f t="shared" si="3"/>
        <v>2507.9999999999995</v>
      </c>
      <c r="S15" s="45">
        <f t="shared" si="4"/>
        <v>2427</v>
      </c>
      <c r="T15" s="45">
        <f t="shared" si="5"/>
        <v>2348.9999999999995</v>
      </c>
      <c r="U15" s="45">
        <f t="shared" si="6"/>
        <v>2271</v>
      </c>
      <c r="V15" s="45">
        <f t="shared" si="7"/>
        <v>2154</v>
      </c>
    </row>
    <row r="16" spans="2:22" ht="15.75" customHeight="1">
      <c r="B16" s="25" t="s">
        <v>170</v>
      </c>
      <c r="C16" s="25" t="s">
        <v>13</v>
      </c>
      <c r="D16" s="52" t="s">
        <v>201</v>
      </c>
      <c r="E16" s="25">
        <v>250</v>
      </c>
      <c r="F16" s="45">
        <v>1200</v>
      </c>
      <c r="G16" s="48">
        <f>23.51*1.2</f>
        <v>28.212</v>
      </c>
      <c r="H16" s="48">
        <f>23.32*1.2</f>
        <v>27.983999999999998</v>
      </c>
      <c r="I16" s="48">
        <f>22.86*1.2</f>
        <v>27.431999999999999</v>
      </c>
      <c r="J16" s="48">
        <f>22.66*1.2</f>
        <v>27.192</v>
      </c>
      <c r="K16" s="48">
        <f>22.34*1.2</f>
        <v>26.808</v>
      </c>
      <c r="L16" s="48">
        <f>21.94*1.2</f>
        <v>26.327999999999999</v>
      </c>
      <c r="M16" s="48">
        <f>21.69*1.2</f>
        <v>26.028000000000002</v>
      </c>
      <c r="N16" s="48">
        <f>21.16*1.2</f>
        <v>25.391999999999999</v>
      </c>
      <c r="O16" s="45">
        <f t="shared" si="0"/>
        <v>7053</v>
      </c>
      <c r="P16" s="45">
        <f t="shared" si="1"/>
        <v>6996</v>
      </c>
      <c r="Q16" s="45">
        <f t="shared" si="2"/>
        <v>6858</v>
      </c>
      <c r="R16" s="45">
        <f t="shared" si="3"/>
        <v>6798</v>
      </c>
      <c r="S16" s="45">
        <f t="shared" si="4"/>
        <v>6702</v>
      </c>
      <c r="T16" s="45">
        <f t="shared" si="5"/>
        <v>6582</v>
      </c>
      <c r="U16" s="45">
        <f t="shared" si="6"/>
        <v>6507.0000000000009</v>
      </c>
      <c r="V16" s="45">
        <f t="shared" si="7"/>
        <v>6348</v>
      </c>
    </row>
    <row r="17" spans="2:18" s="11" customFormat="1" ht="21.75" customHeight="1">
      <c r="B17" s="78" t="s">
        <v>93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10"/>
      <c r="R17" s="10"/>
    </row>
    <row r="18" spans="2:18" s="11" customFormat="1" ht="33" customHeight="1">
      <c r="B18" s="26" t="s">
        <v>165</v>
      </c>
      <c r="C18" s="9" t="s">
        <v>29</v>
      </c>
      <c r="D18" s="9" t="s">
        <v>30</v>
      </c>
      <c r="E18" s="9" t="s">
        <v>31</v>
      </c>
      <c r="F18" s="9" t="s">
        <v>32</v>
      </c>
      <c r="G18" s="9" t="s">
        <v>33</v>
      </c>
      <c r="H18" s="9" t="s">
        <v>34</v>
      </c>
      <c r="I18" s="9" t="s">
        <v>35</v>
      </c>
      <c r="J18" s="9" t="s">
        <v>36</v>
      </c>
      <c r="K18" s="9" t="s">
        <v>37</v>
      </c>
      <c r="L18" s="9" t="s">
        <v>38</v>
      </c>
      <c r="M18" s="9" t="s">
        <v>39</v>
      </c>
      <c r="N18" s="9" t="s">
        <v>40</v>
      </c>
      <c r="O18" s="9" t="s">
        <v>41</v>
      </c>
      <c r="P18" s="27" t="s">
        <v>42</v>
      </c>
      <c r="Q18" s="10"/>
      <c r="R18" s="10"/>
    </row>
    <row r="19" spans="2:18" s="11" customFormat="1" ht="30" customHeight="1">
      <c r="B19" s="28" t="s">
        <v>43</v>
      </c>
      <c r="C19" s="12" t="s">
        <v>44</v>
      </c>
      <c r="D19" s="12" t="s">
        <v>45</v>
      </c>
      <c r="E19" s="12" t="s">
        <v>46</v>
      </c>
      <c r="F19" s="12" t="s">
        <v>47</v>
      </c>
      <c r="G19" s="12" t="s">
        <v>48</v>
      </c>
      <c r="H19" s="12" t="s">
        <v>49</v>
      </c>
      <c r="I19" s="12" t="s">
        <v>50</v>
      </c>
      <c r="J19" s="12" t="s">
        <v>51</v>
      </c>
      <c r="K19" s="12" t="s">
        <v>52</v>
      </c>
      <c r="L19" s="12" t="s">
        <v>53</v>
      </c>
      <c r="M19" s="12" t="s">
        <v>54</v>
      </c>
      <c r="N19" s="12" t="s">
        <v>55</v>
      </c>
      <c r="O19" s="12" t="s">
        <v>56</v>
      </c>
      <c r="P19" s="12" t="s">
        <v>57</v>
      </c>
      <c r="Q19" s="10"/>
      <c r="R19" s="10"/>
    </row>
    <row r="20" spans="2:18" s="11" customFormat="1" ht="28.5" customHeight="1">
      <c r="B20" s="28" t="s">
        <v>58</v>
      </c>
      <c r="C20" s="12" t="s">
        <v>59</v>
      </c>
      <c r="D20" s="13" t="s">
        <v>60</v>
      </c>
      <c r="E20" s="13" t="s">
        <v>61</v>
      </c>
      <c r="F20" s="13" t="s">
        <v>62</v>
      </c>
      <c r="G20" s="13" t="s">
        <v>63</v>
      </c>
      <c r="H20" s="13" t="s">
        <v>64</v>
      </c>
      <c r="I20" s="13" t="s">
        <v>64</v>
      </c>
      <c r="J20" s="13" t="s">
        <v>65</v>
      </c>
      <c r="K20" s="13" t="s">
        <v>66</v>
      </c>
      <c r="L20" s="13" t="s">
        <v>66</v>
      </c>
      <c r="M20" s="13" t="s">
        <v>67</v>
      </c>
      <c r="N20" s="13" t="s">
        <v>68</v>
      </c>
      <c r="O20" s="13" t="s">
        <v>69</v>
      </c>
      <c r="P20" s="13" t="s">
        <v>70</v>
      </c>
      <c r="Q20" s="10"/>
      <c r="R20" s="10"/>
    </row>
    <row r="21" spans="2:18" s="11" customFormat="1" ht="30.75" customHeight="1">
      <c r="B21" s="28" t="s">
        <v>71</v>
      </c>
      <c r="C21" s="29">
        <v>1.3888888888888888E-2</v>
      </c>
      <c r="D21" s="29">
        <v>2.0833333333333332E-2</v>
      </c>
      <c r="E21" s="29">
        <v>2.0833333333333332E-2</v>
      </c>
      <c r="F21" s="29">
        <v>2.0833333333333332E-2</v>
      </c>
      <c r="G21" s="29">
        <v>2.0833333333333332E-2</v>
      </c>
      <c r="H21" s="29">
        <v>2.0833333333333332E-2</v>
      </c>
      <c r="I21" s="29">
        <v>2.0833333333333332E-2</v>
      </c>
      <c r="J21" s="29">
        <v>2.0833333333333332E-2</v>
      </c>
      <c r="K21" s="29">
        <v>4.1666666666666664E-2</v>
      </c>
      <c r="L21" s="29">
        <v>4.1666666666666664E-2</v>
      </c>
      <c r="M21" s="29">
        <v>8.3333333333333329E-2</v>
      </c>
      <c r="N21" s="29">
        <v>8.3333333333333329E-2</v>
      </c>
      <c r="O21" s="29">
        <v>8.3333333333333329E-2</v>
      </c>
      <c r="P21" s="29">
        <v>0.125</v>
      </c>
      <c r="Q21" s="10"/>
      <c r="R21" s="10"/>
    </row>
    <row r="22" spans="2:18" s="11" customFormat="1" ht="15.75" customHeight="1">
      <c r="B22" s="28" t="s">
        <v>72</v>
      </c>
      <c r="C22" s="30">
        <f>900*1.2</f>
        <v>1080</v>
      </c>
      <c r="D22" s="30">
        <f>1200*1.2</f>
        <v>1440</v>
      </c>
      <c r="E22" s="30">
        <f>1350*1.2</f>
        <v>1620</v>
      </c>
      <c r="F22" s="30">
        <f>1550*1.2</f>
        <v>1860</v>
      </c>
      <c r="G22" s="30">
        <f>1900*1.2</f>
        <v>2280</v>
      </c>
      <c r="H22" s="30">
        <f>2250*1.2</f>
        <v>2700</v>
      </c>
      <c r="I22" s="30">
        <f>2600*1.2</f>
        <v>3120</v>
      </c>
      <c r="J22" s="30">
        <f>2950*1.2</f>
        <v>3540</v>
      </c>
      <c r="K22" s="30">
        <f>3650*1.2</f>
        <v>4380</v>
      </c>
      <c r="L22" s="30">
        <f>6200*1.2</f>
        <v>7440</v>
      </c>
      <c r="M22" s="30">
        <f>7400*1.2</f>
        <v>8880</v>
      </c>
      <c r="N22" s="30">
        <f>9500*1.2</f>
        <v>11400</v>
      </c>
      <c r="O22" s="30">
        <f>14500*1.2</f>
        <v>17400</v>
      </c>
      <c r="P22" s="31">
        <f>16000*1.2</f>
        <v>19200</v>
      </c>
      <c r="Q22" s="10"/>
      <c r="R22" s="10"/>
    </row>
    <row r="23" spans="2:18" s="11" customFormat="1" ht="15.75" customHeight="1">
      <c r="B23" s="28" t="s">
        <v>73</v>
      </c>
      <c r="C23" s="14">
        <v>500</v>
      </c>
      <c r="D23" s="14">
        <v>500</v>
      </c>
      <c r="E23" s="14">
        <v>500</v>
      </c>
      <c r="F23" s="14">
        <v>500</v>
      </c>
      <c r="G23" s="14">
        <v>500</v>
      </c>
      <c r="H23" s="14">
        <v>500</v>
      </c>
      <c r="I23" s="14">
        <v>1000</v>
      </c>
      <c r="J23" s="14">
        <v>1000</v>
      </c>
      <c r="K23" s="14">
        <v>1000</v>
      </c>
      <c r="L23" s="14">
        <v>1000</v>
      </c>
      <c r="M23" s="14">
        <v>1000</v>
      </c>
      <c r="N23" s="14">
        <v>1500</v>
      </c>
      <c r="O23" s="14">
        <v>1500</v>
      </c>
      <c r="P23" s="15">
        <v>1500</v>
      </c>
      <c r="Q23" s="10"/>
      <c r="R23" s="10"/>
    </row>
    <row r="24" spans="2:18" s="11" customFormat="1" ht="15.75" customHeight="1">
      <c r="B24" s="28" t="s">
        <v>74</v>
      </c>
      <c r="C24" s="14">
        <v>1000</v>
      </c>
      <c r="D24" s="14">
        <v>1000</v>
      </c>
      <c r="E24" s="14">
        <v>1000</v>
      </c>
      <c r="F24" s="14">
        <v>1000</v>
      </c>
      <c r="G24" s="14">
        <v>1000</v>
      </c>
      <c r="H24" s="14">
        <v>1000</v>
      </c>
      <c r="I24" s="14">
        <v>1000</v>
      </c>
      <c r="J24" s="14">
        <v>1000</v>
      </c>
      <c r="K24" s="14">
        <v>1000</v>
      </c>
      <c r="L24" s="14">
        <v>1000</v>
      </c>
      <c r="M24" s="14">
        <v>1000</v>
      </c>
      <c r="N24" s="14" t="s">
        <v>75</v>
      </c>
      <c r="O24" s="14" t="s">
        <v>75</v>
      </c>
      <c r="P24" s="14" t="s">
        <v>75</v>
      </c>
      <c r="Q24" s="10"/>
      <c r="R24" s="10"/>
    </row>
    <row r="25" spans="2:18" s="11" customFormat="1" ht="31.5" customHeight="1">
      <c r="B25" s="28" t="s">
        <v>76</v>
      </c>
      <c r="C25" s="15">
        <v>350</v>
      </c>
      <c r="D25" s="15">
        <v>350</v>
      </c>
      <c r="E25" s="15">
        <v>500</v>
      </c>
      <c r="F25" s="15">
        <v>500</v>
      </c>
      <c r="G25" s="15">
        <v>500</v>
      </c>
      <c r="H25" s="15">
        <v>500</v>
      </c>
      <c r="I25" s="15">
        <v>600</v>
      </c>
      <c r="J25" s="15">
        <v>600</v>
      </c>
      <c r="K25" s="15">
        <v>700</v>
      </c>
      <c r="L25" s="15">
        <v>700</v>
      </c>
      <c r="M25" s="15">
        <v>800</v>
      </c>
      <c r="N25" s="15">
        <v>800</v>
      </c>
      <c r="O25" s="15">
        <v>1000</v>
      </c>
      <c r="P25" s="15">
        <v>1200</v>
      </c>
      <c r="Q25" s="10"/>
      <c r="R25" s="10"/>
    </row>
    <row r="26" spans="2:18" s="11" customFormat="1" ht="28.5" customHeight="1">
      <c r="B26" s="28" t="s">
        <v>77</v>
      </c>
      <c r="C26" s="32">
        <v>24</v>
      </c>
      <c r="D26" s="32">
        <v>25</v>
      </c>
      <c r="E26" s="32">
        <v>25</v>
      </c>
      <c r="F26" s="32">
        <v>25</v>
      </c>
      <c r="G26" s="32">
        <v>25</v>
      </c>
      <c r="H26" s="32">
        <v>25</v>
      </c>
      <c r="I26" s="32">
        <v>25</v>
      </c>
      <c r="J26" s="32">
        <v>28</v>
      </c>
      <c r="K26" s="32">
        <v>28</v>
      </c>
      <c r="L26" s="32">
        <v>30</v>
      </c>
      <c r="M26" s="32">
        <v>35</v>
      </c>
      <c r="N26" s="32">
        <v>37</v>
      </c>
      <c r="O26" s="32">
        <v>48</v>
      </c>
      <c r="P26" s="32">
        <v>60</v>
      </c>
      <c r="Q26" s="10"/>
      <c r="R26" s="10"/>
    </row>
    <row r="27" spans="2:18" s="11" customFormat="1" ht="15.75" customHeight="1">
      <c r="B27" s="79" t="s">
        <v>78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2:18" s="11" customFormat="1" ht="15.75" customHeight="1">
      <c r="B28" s="80" t="s">
        <v>174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2:18" s="11" customFormat="1" ht="15.75" customHeight="1">
      <c r="B29" s="80" t="s">
        <v>175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2:18" s="11" customFormat="1" ht="15.75" customHeight="1">
      <c r="B30" s="80" t="s">
        <v>176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2:18" s="11" customFormat="1" ht="15.75" customHeight="1">
      <c r="B31" s="80" t="s">
        <v>177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2:18" ht="27" customHeight="1">
      <c r="B32" s="7" t="s">
        <v>143</v>
      </c>
      <c r="C32" s="6"/>
      <c r="D32" s="6"/>
      <c r="E32" s="6"/>
      <c r="F32" s="6"/>
      <c r="G32" s="6"/>
      <c r="H32" s="6"/>
      <c r="I32" s="6"/>
      <c r="J32" s="6"/>
    </row>
    <row r="33" spans="1:22" s="11" customFormat="1" ht="13.5" customHeight="1">
      <c r="B33" s="72" t="s">
        <v>164</v>
      </c>
      <c r="C33" s="53" t="s">
        <v>0</v>
      </c>
      <c r="D33" s="53" t="s">
        <v>2</v>
      </c>
      <c r="E33" s="53" t="s">
        <v>4</v>
      </c>
      <c r="F33" s="73" t="s">
        <v>6</v>
      </c>
      <c r="G33" s="75" t="s">
        <v>7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</row>
    <row r="34" spans="1:22" ht="16.5" customHeight="1">
      <c r="B34" s="72"/>
      <c r="C34" s="53" t="s">
        <v>1</v>
      </c>
      <c r="D34" s="53" t="s">
        <v>3</v>
      </c>
      <c r="E34" s="53" t="s">
        <v>5</v>
      </c>
      <c r="F34" s="73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</row>
    <row r="35" spans="1:22" ht="27.75" customHeight="1">
      <c r="B35" s="72"/>
      <c r="C35" s="54"/>
      <c r="D35" s="54"/>
      <c r="E35" s="54"/>
      <c r="F35" s="24" t="s">
        <v>8</v>
      </c>
      <c r="G35" s="25" t="s">
        <v>146</v>
      </c>
      <c r="H35" s="25" t="s">
        <v>147</v>
      </c>
      <c r="I35" s="25" t="s">
        <v>148</v>
      </c>
      <c r="J35" s="25" t="s">
        <v>149</v>
      </c>
      <c r="K35" s="25" t="s">
        <v>150</v>
      </c>
      <c r="L35" s="25" t="s">
        <v>151</v>
      </c>
      <c r="M35" s="25" t="s">
        <v>152</v>
      </c>
      <c r="N35" s="25" t="s">
        <v>153</v>
      </c>
      <c r="O35" s="25" t="s">
        <v>154</v>
      </c>
      <c r="P35" s="25" t="s">
        <v>155</v>
      </c>
      <c r="Q35" s="25" t="s">
        <v>9</v>
      </c>
      <c r="R35" s="25" t="s">
        <v>156</v>
      </c>
      <c r="S35" s="25" t="s">
        <v>157</v>
      </c>
      <c r="T35" s="25" t="s">
        <v>10</v>
      </c>
      <c r="U35" s="25" t="s">
        <v>158</v>
      </c>
      <c r="V35" s="25" t="s">
        <v>159</v>
      </c>
    </row>
    <row r="36" spans="1:22" ht="15.75" customHeight="1">
      <c r="B36" s="25" t="s">
        <v>161</v>
      </c>
      <c r="C36" s="25" t="s">
        <v>13</v>
      </c>
      <c r="D36" s="25" t="s">
        <v>202</v>
      </c>
      <c r="E36" s="25">
        <v>250</v>
      </c>
      <c r="F36" s="49">
        <f>396*1.2</f>
        <v>475.2</v>
      </c>
      <c r="G36" s="48">
        <f>9.03*1.2</f>
        <v>10.835999999999999</v>
      </c>
      <c r="H36" s="48">
        <f>8.2*1.2</f>
        <v>9.8399999999999981</v>
      </c>
      <c r="I36" s="48">
        <f>8.2*1.2</f>
        <v>9.8399999999999981</v>
      </c>
      <c r="J36" s="48">
        <f>7.96*1.2</f>
        <v>9.5519999999999996</v>
      </c>
      <c r="K36" s="48">
        <f>7.48*1.2</f>
        <v>8.9760000000000009</v>
      </c>
      <c r="L36" s="48">
        <f>7.25*1.2</f>
        <v>8.6999999999999993</v>
      </c>
      <c r="M36" s="48">
        <f>7.25*1.2</f>
        <v>8.6999999999999993</v>
      </c>
      <c r="N36" s="48">
        <f>6.29*1.2</f>
        <v>7.548</v>
      </c>
      <c r="O36" s="45">
        <f>E36*G36</f>
        <v>2708.9999999999995</v>
      </c>
      <c r="P36" s="45">
        <f>E36*H36</f>
        <v>2459.9999999999995</v>
      </c>
      <c r="Q36" s="45">
        <f>E36*I36</f>
        <v>2459.9999999999995</v>
      </c>
      <c r="R36" s="45">
        <f>E36*J36</f>
        <v>2388</v>
      </c>
      <c r="S36" s="45">
        <f>E36*K36</f>
        <v>2244</v>
      </c>
      <c r="T36" s="45">
        <f>E36*L36</f>
        <v>2175</v>
      </c>
      <c r="U36" s="45">
        <f>E36*M36</f>
        <v>2175</v>
      </c>
      <c r="V36" s="45">
        <f>E36*N36</f>
        <v>1887</v>
      </c>
    </row>
    <row r="37" spans="1:22" ht="15.75" customHeight="1">
      <c r="B37" s="55" t="s">
        <v>171</v>
      </c>
      <c r="C37" s="55" t="s">
        <v>13</v>
      </c>
      <c r="D37" s="55" t="s">
        <v>203</v>
      </c>
      <c r="E37" s="55">
        <v>250</v>
      </c>
      <c r="F37" s="49">
        <f>550*1.2</f>
        <v>660</v>
      </c>
      <c r="G37" s="48">
        <f>11.05*1.2</f>
        <v>13.26</v>
      </c>
      <c r="H37" s="48">
        <f>10.81*1.2</f>
        <v>12.972</v>
      </c>
      <c r="I37" s="48">
        <f>10.81*1.2</f>
        <v>12.972</v>
      </c>
      <c r="J37" s="48">
        <f>10.57*1.2</f>
        <v>12.683999999999999</v>
      </c>
      <c r="K37" s="48">
        <f>10.34*1.2</f>
        <v>12.407999999999999</v>
      </c>
      <c r="L37" s="48">
        <f>10.1*1.2</f>
        <v>12.12</v>
      </c>
      <c r="M37" s="48">
        <f>10.1*1.2</f>
        <v>12.12</v>
      </c>
      <c r="N37" s="48">
        <f>9.75*1.2</f>
        <v>11.7</v>
      </c>
      <c r="O37" s="45">
        <f>E37*G37</f>
        <v>3315</v>
      </c>
      <c r="P37" s="45">
        <f>E37*H37</f>
        <v>3243</v>
      </c>
      <c r="Q37" s="45">
        <f>E37*I37</f>
        <v>3243</v>
      </c>
      <c r="R37" s="45">
        <f>E37*J37</f>
        <v>3171</v>
      </c>
      <c r="S37" s="45">
        <f>E37*K37</f>
        <v>3102</v>
      </c>
      <c r="T37" s="45">
        <f>E37*L37</f>
        <v>3030</v>
      </c>
      <c r="U37" s="45">
        <f>E37*M37</f>
        <v>3030</v>
      </c>
      <c r="V37" s="45">
        <f>E37*N37</f>
        <v>2925</v>
      </c>
    </row>
    <row r="38" spans="1:22" ht="15.75" customHeight="1">
      <c r="B38" s="25" t="s">
        <v>170</v>
      </c>
      <c r="C38" s="25" t="s">
        <v>13</v>
      </c>
      <c r="D38" s="25" t="s">
        <v>204</v>
      </c>
      <c r="E38" s="25">
        <v>250</v>
      </c>
      <c r="F38" s="49">
        <f>600*1.2</f>
        <v>720</v>
      </c>
      <c r="G38" s="48">
        <f t="shared" ref="G38:N38" si="8">19.42*1.2</f>
        <v>23.304000000000002</v>
      </c>
      <c r="H38" s="48">
        <f t="shared" si="8"/>
        <v>23.304000000000002</v>
      </c>
      <c r="I38" s="48">
        <f t="shared" si="8"/>
        <v>23.304000000000002</v>
      </c>
      <c r="J38" s="48">
        <f t="shared" si="8"/>
        <v>23.304000000000002</v>
      </c>
      <c r="K38" s="48">
        <f t="shared" si="8"/>
        <v>23.304000000000002</v>
      </c>
      <c r="L38" s="48">
        <f t="shared" si="8"/>
        <v>23.304000000000002</v>
      </c>
      <c r="M38" s="48">
        <f t="shared" si="8"/>
        <v>23.304000000000002</v>
      </c>
      <c r="N38" s="48">
        <f t="shared" si="8"/>
        <v>23.304000000000002</v>
      </c>
      <c r="O38" s="45">
        <f>E38*G38</f>
        <v>5826.0000000000009</v>
      </c>
      <c r="P38" s="45">
        <f>E38*H38</f>
        <v>5826.0000000000009</v>
      </c>
      <c r="Q38" s="45">
        <f>E38*I38</f>
        <v>5826.0000000000009</v>
      </c>
      <c r="R38" s="45">
        <f>E38*J38</f>
        <v>5826.0000000000009</v>
      </c>
      <c r="S38" s="45">
        <f>E38*K38</f>
        <v>5826.0000000000009</v>
      </c>
      <c r="T38" s="45">
        <f>E38*L38</f>
        <v>5826.0000000000009</v>
      </c>
      <c r="U38" s="45">
        <f>E38*M38</f>
        <v>5826.0000000000009</v>
      </c>
      <c r="V38" s="45">
        <f>E38*N38</f>
        <v>5826.0000000000009</v>
      </c>
    </row>
    <row r="39" spans="1:22" ht="15.75" customHeight="1">
      <c r="B39" s="25" t="s">
        <v>163</v>
      </c>
      <c r="C39" s="25" t="s">
        <v>13</v>
      </c>
      <c r="D39" s="25" t="s">
        <v>205</v>
      </c>
      <c r="E39" s="25">
        <v>250</v>
      </c>
      <c r="F39" s="49">
        <f>600*1.2</f>
        <v>720</v>
      </c>
      <c r="G39" s="48">
        <f>6.15*1.2</f>
        <v>7.38</v>
      </c>
      <c r="H39" s="48">
        <f>6.02*1.2</f>
        <v>7.2239999999999993</v>
      </c>
      <c r="I39" s="48">
        <f>6.02*1.2</f>
        <v>7.2239999999999993</v>
      </c>
      <c r="J39" s="48">
        <f>5.6*1.2</f>
        <v>6.72</v>
      </c>
      <c r="K39" s="48">
        <f>5.33*1.2</f>
        <v>6.3959999999999999</v>
      </c>
      <c r="L39" s="48">
        <f>5.33*1.2</f>
        <v>6.3959999999999999</v>
      </c>
      <c r="M39" s="48">
        <f>4.92*1.2</f>
        <v>5.9039999999999999</v>
      </c>
      <c r="N39" s="48">
        <f>4.92*1.2</f>
        <v>5.9039999999999999</v>
      </c>
      <c r="O39" s="45">
        <f>E39*G39</f>
        <v>1845</v>
      </c>
      <c r="P39" s="45">
        <f>E39*H39</f>
        <v>1805.9999999999998</v>
      </c>
      <c r="Q39" s="45">
        <f>E39*I39</f>
        <v>1805.9999999999998</v>
      </c>
      <c r="R39" s="45">
        <f>E39*J39</f>
        <v>1680</v>
      </c>
      <c r="S39" s="45">
        <f>E39*K39</f>
        <v>1599</v>
      </c>
      <c r="T39" s="45">
        <f>E39*L39</f>
        <v>1599</v>
      </c>
      <c r="U39" s="45">
        <f>E39*M39</f>
        <v>1476</v>
      </c>
      <c r="V39" s="45">
        <f>E39*N39</f>
        <v>1476</v>
      </c>
    </row>
    <row r="40" spans="1:22" s="11" customFormat="1" ht="21.75" customHeight="1">
      <c r="B40" s="78" t="s">
        <v>94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33"/>
      <c r="R40" s="33"/>
      <c r="S40" s="34"/>
      <c r="T40" s="34"/>
      <c r="U40" s="34"/>
      <c r="V40" s="34"/>
    </row>
    <row r="41" spans="1:22" s="11" customFormat="1" ht="33" customHeight="1">
      <c r="B41" s="26" t="s">
        <v>165</v>
      </c>
      <c r="C41" s="35" t="s">
        <v>97</v>
      </c>
      <c r="D41" s="35" t="s">
        <v>98</v>
      </c>
      <c r="E41" s="35" t="s">
        <v>99</v>
      </c>
      <c r="F41" s="35" t="s">
        <v>100</v>
      </c>
      <c r="G41" s="35" t="s">
        <v>101</v>
      </c>
      <c r="H41" s="35" t="s">
        <v>102</v>
      </c>
      <c r="I41" s="35" t="s">
        <v>103</v>
      </c>
      <c r="J41" s="35" t="s">
        <v>104</v>
      </c>
      <c r="K41" s="35" t="s">
        <v>105</v>
      </c>
      <c r="L41" s="35" t="s">
        <v>106</v>
      </c>
      <c r="M41" s="35" t="s">
        <v>107</v>
      </c>
      <c r="N41" s="35" t="s">
        <v>108</v>
      </c>
      <c r="O41" s="35" t="s">
        <v>109</v>
      </c>
      <c r="P41" s="35" t="s">
        <v>110</v>
      </c>
      <c r="Q41" s="35" t="s">
        <v>111</v>
      </c>
      <c r="R41" s="35" t="s">
        <v>112</v>
      </c>
      <c r="S41" s="35" t="s">
        <v>113</v>
      </c>
      <c r="T41" s="35" t="s">
        <v>114</v>
      </c>
      <c r="U41" s="35" t="s">
        <v>115</v>
      </c>
      <c r="V41" s="76" t="s">
        <v>116</v>
      </c>
    </row>
    <row r="42" spans="1:22" s="11" customFormat="1" ht="15.75" customHeight="1">
      <c r="B42" s="28" t="s">
        <v>43</v>
      </c>
      <c r="C42" s="35" t="s">
        <v>117</v>
      </c>
      <c r="D42" s="35" t="s">
        <v>118</v>
      </c>
      <c r="E42" s="35" t="s">
        <v>119</v>
      </c>
      <c r="F42" s="35" t="s">
        <v>120</v>
      </c>
      <c r="G42" s="36" t="s">
        <v>121</v>
      </c>
      <c r="H42" s="36" t="s">
        <v>122</v>
      </c>
      <c r="I42" s="36" t="s">
        <v>123</v>
      </c>
      <c r="J42" s="36" t="s">
        <v>124</v>
      </c>
      <c r="K42" s="35" t="s">
        <v>125</v>
      </c>
      <c r="L42" s="35" t="s">
        <v>126</v>
      </c>
      <c r="M42" s="35" t="s">
        <v>127</v>
      </c>
      <c r="N42" s="35" t="s">
        <v>128</v>
      </c>
      <c r="O42" s="35" t="s">
        <v>129</v>
      </c>
      <c r="P42" s="35" t="s">
        <v>130</v>
      </c>
      <c r="Q42" s="35" t="s">
        <v>131</v>
      </c>
      <c r="R42" s="35" t="s">
        <v>132</v>
      </c>
      <c r="S42" s="35" t="s">
        <v>133</v>
      </c>
      <c r="T42" s="35" t="s">
        <v>134</v>
      </c>
      <c r="U42" s="35" t="s">
        <v>135</v>
      </c>
      <c r="V42" s="76"/>
    </row>
    <row r="43" spans="1:22" s="11" customFormat="1" ht="42" customHeight="1">
      <c r="B43" s="37" t="s">
        <v>172</v>
      </c>
      <c r="C43" s="38">
        <v>202</v>
      </c>
      <c r="D43" s="38">
        <v>332</v>
      </c>
      <c r="E43" s="38">
        <v>356</v>
      </c>
      <c r="F43" s="38">
        <v>463</v>
      </c>
      <c r="G43" s="38">
        <v>653</v>
      </c>
      <c r="H43" s="38">
        <v>1045</v>
      </c>
      <c r="I43" s="38">
        <v>1307</v>
      </c>
      <c r="J43" s="38">
        <v>1663</v>
      </c>
      <c r="K43" s="38">
        <v>1960</v>
      </c>
      <c r="L43" s="38">
        <v>2376</v>
      </c>
      <c r="M43" s="38">
        <v>2732</v>
      </c>
      <c r="N43" s="38">
        <v>3089</v>
      </c>
      <c r="O43" s="38">
        <v>3920</v>
      </c>
      <c r="P43" s="38">
        <v>4752</v>
      </c>
      <c r="Q43" s="38">
        <v>5227</v>
      </c>
      <c r="R43" s="38">
        <v>5702</v>
      </c>
      <c r="S43" s="38">
        <v>5881</v>
      </c>
      <c r="T43" s="38">
        <v>6980</v>
      </c>
      <c r="U43" s="38">
        <v>8492</v>
      </c>
      <c r="V43" s="39" t="s">
        <v>136</v>
      </c>
    </row>
    <row r="44" spans="1:22" s="11" customFormat="1" ht="40.5" customHeight="1">
      <c r="B44" s="56" t="s">
        <v>173</v>
      </c>
      <c r="C44" s="57">
        <v>263</v>
      </c>
      <c r="D44" s="57">
        <v>432</v>
      </c>
      <c r="E44" s="57">
        <v>463</v>
      </c>
      <c r="F44" s="57">
        <v>602</v>
      </c>
      <c r="G44" s="57">
        <v>849</v>
      </c>
      <c r="H44" s="57">
        <v>1359</v>
      </c>
      <c r="I44" s="57">
        <v>1698</v>
      </c>
      <c r="J44" s="57">
        <v>2163</v>
      </c>
      <c r="K44" s="57">
        <v>2549</v>
      </c>
      <c r="L44" s="57">
        <v>3089</v>
      </c>
      <c r="M44" s="57">
        <v>3552</v>
      </c>
      <c r="N44" s="57">
        <v>4015</v>
      </c>
      <c r="O44" s="57">
        <v>5096</v>
      </c>
      <c r="P44" s="57">
        <v>6178</v>
      </c>
      <c r="Q44" s="57">
        <v>6796</v>
      </c>
      <c r="R44" s="57">
        <v>7413</v>
      </c>
      <c r="S44" s="57">
        <v>6351</v>
      </c>
      <c r="T44" s="57">
        <v>8957</v>
      </c>
      <c r="U44" s="57">
        <v>11040</v>
      </c>
      <c r="V44" s="58" t="s">
        <v>136</v>
      </c>
    </row>
    <row r="45" spans="1:22" s="11" customFormat="1" ht="37.5" customHeight="1">
      <c r="B45" s="40" t="s">
        <v>137</v>
      </c>
      <c r="C45" s="21">
        <v>15</v>
      </c>
      <c r="D45" s="21">
        <v>15</v>
      </c>
      <c r="E45" s="21">
        <v>15</v>
      </c>
      <c r="F45" s="21">
        <v>30</v>
      </c>
      <c r="G45" s="21">
        <v>30</v>
      </c>
      <c r="H45" s="21">
        <v>30</v>
      </c>
      <c r="I45" s="21">
        <v>30</v>
      </c>
      <c r="J45" s="21">
        <v>30</v>
      </c>
      <c r="K45" s="21">
        <v>45</v>
      </c>
      <c r="L45" s="21">
        <v>45</v>
      </c>
      <c r="M45" s="21">
        <v>60</v>
      </c>
      <c r="N45" s="21">
        <v>60</v>
      </c>
      <c r="O45" s="21">
        <v>60</v>
      </c>
      <c r="P45" s="21">
        <v>60</v>
      </c>
      <c r="Q45" s="21">
        <v>120</v>
      </c>
      <c r="R45" s="21">
        <v>120</v>
      </c>
      <c r="S45" s="21">
        <v>180</v>
      </c>
      <c r="T45" s="21">
        <v>180</v>
      </c>
      <c r="U45" s="21">
        <v>180</v>
      </c>
      <c r="V45" s="41" t="s">
        <v>138</v>
      </c>
    </row>
    <row r="46" spans="1:22" s="11" customFormat="1" ht="35.25" customHeight="1">
      <c r="B46" s="40" t="s">
        <v>139</v>
      </c>
      <c r="C46" s="21">
        <v>327</v>
      </c>
      <c r="D46" s="21">
        <v>327</v>
      </c>
      <c r="E46" s="21">
        <v>327</v>
      </c>
      <c r="F46" s="21">
        <v>327</v>
      </c>
      <c r="G46" s="21">
        <v>327</v>
      </c>
      <c r="H46" s="21">
        <v>327</v>
      </c>
      <c r="I46" s="21">
        <v>327</v>
      </c>
      <c r="J46" s="21">
        <v>327</v>
      </c>
      <c r="K46" s="21">
        <v>499</v>
      </c>
      <c r="L46" s="21">
        <v>499</v>
      </c>
      <c r="M46" s="21">
        <v>499</v>
      </c>
      <c r="N46" s="21">
        <v>499</v>
      </c>
      <c r="O46" s="21">
        <v>587</v>
      </c>
      <c r="P46" s="21">
        <v>587</v>
      </c>
      <c r="Q46" s="21">
        <v>713</v>
      </c>
      <c r="R46" s="21">
        <v>713</v>
      </c>
      <c r="S46" s="21">
        <v>987</v>
      </c>
      <c r="T46" s="21">
        <v>987</v>
      </c>
      <c r="U46" s="21">
        <v>987</v>
      </c>
      <c r="V46" s="41" t="s">
        <v>140</v>
      </c>
    </row>
    <row r="47" spans="1:22" ht="16.5" customHeight="1">
      <c r="A47" s="11"/>
      <c r="B47" s="41" t="s">
        <v>141</v>
      </c>
      <c r="C47" s="21">
        <v>22</v>
      </c>
      <c r="D47" s="21">
        <v>22</v>
      </c>
      <c r="E47" s="21">
        <v>22</v>
      </c>
      <c r="F47" s="21">
        <v>22</v>
      </c>
      <c r="G47" s="21">
        <v>24</v>
      </c>
      <c r="H47" s="21">
        <v>24</v>
      </c>
      <c r="I47" s="21">
        <v>24</v>
      </c>
      <c r="J47" s="21">
        <v>24</v>
      </c>
      <c r="K47" s="21">
        <v>28</v>
      </c>
      <c r="L47" s="21">
        <v>28</v>
      </c>
      <c r="M47" s="21">
        <v>33</v>
      </c>
      <c r="N47" s="21">
        <v>33</v>
      </c>
      <c r="O47" s="21">
        <v>33</v>
      </c>
      <c r="P47" s="21">
        <v>40</v>
      </c>
      <c r="Q47" s="21">
        <v>40</v>
      </c>
      <c r="R47" s="21" t="s">
        <v>142</v>
      </c>
      <c r="S47" s="21" t="s">
        <v>142</v>
      </c>
      <c r="T47" s="21" t="s">
        <v>142</v>
      </c>
      <c r="U47" s="21" t="s">
        <v>142</v>
      </c>
      <c r="V47" s="42"/>
    </row>
    <row r="48" spans="1:22" ht="28.5" customHeight="1">
      <c r="A48" s="8"/>
      <c r="B48" s="8" t="s">
        <v>15</v>
      </c>
      <c r="V48" s="8"/>
    </row>
    <row r="49" spans="1:22" ht="15.75" customHeight="1">
      <c r="B49" s="74" t="s">
        <v>164</v>
      </c>
      <c r="C49" s="22" t="s">
        <v>0</v>
      </c>
      <c r="D49" s="22" t="s">
        <v>2</v>
      </c>
      <c r="E49" s="22" t="s">
        <v>4</v>
      </c>
      <c r="F49" s="73" t="s">
        <v>6</v>
      </c>
      <c r="G49" s="75" t="s">
        <v>7</v>
      </c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</row>
    <row r="50" spans="1:22" ht="15.75">
      <c r="B50" s="74"/>
      <c r="C50" s="22" t="s">
        <v>1</v>
      </c>
      <c r="D50" s="22" t="s">
        <v>3</v>
      </c>
      <c r="E50" s="22" t="s">
        <v>5</v>
      </c>
      <c r="F50" s="73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</row>
    <row r="51" spans="1:22" ht="28.5" customHeight="1">
      <c r="B51" s="74"/>
      <c r="C51" s="23"/>
      <c r="D51" s="23"/>
      <c r="E51" s="23"/>
      <c r="F51" s="24" t="s">
        <v>8</v>
      </c>
      <c r="G51" s="25" t="s">
        <v>146</v>
      </c>
      <c r="H51" s="25" t="s">
        <v>147</v>
      </c>
      <c r="I51" s="25" t="s">
        <v>148</v>
      </c>
      <c r="J51" s="25" t="s">
        <v>149</v>
      </c>
      <c r="K51" s="25" t="s">
        <v>150</v>
      </c>
      <c r="L51" s="25" t="s">
        <v>151</v>
      </c>
      <c r="M51" s="25" t="s">
        <v>152</v>
      </c>
      <c r="N51" s="25" t="s">
        <v>153</v>
      </c>
      <c r="O51" s="25" t="s">
        <v>154</v>
      </c>
      <c r="P51" s="25" t="s">
        <v>155</v>
      </c>
      <c r="Q51" s="25" t="s">
        <v>9</v>
      </c>
      <c r="R51" s="25" t="s">
        <v>156</v>
      </c>
      <c r="S51" s="25" t="s">
        <v>157</v>
      </c>
      <c r="T51" s="25" t="s">
        <v>10</v>
      </c>
      <c r="U51" s="25" t="s">
        <v>158</v>
      </c>
      <c r="V51" s="25" t="s">
        <v>159</v>
      </c>
    </row>
    <row r="52" spans="1:22" ht="15.75" customHeight="1">
      <c r="B52" s="25" t="s">
        <v>161</v>
      </c>
      <c r="C52" s="25" t="s">
        <v>13</v>
      </c>
      <c r="D52" s="25" t="s">
        <v>200</v>
      </c>
      <c r="E52" s="25">
        <v>250</v>
      </c>
      <c r="F52" s="45">
        <f>495*1.2</f>
        <v>594</v>
      </c>
      <c r="G52" s="48">
        <f>9.27*1.2</f>
        <v>11.123999999999999</v>
      </c>
      <c r="H52" s="48">
        <f>8.87*1.2</f>
        <v>10.643999999999998</v>
      </c>
      <c r="I52" s="48">
        <f>8.62*1.2</f>
        <v>10.343999999999999</v>
      </c>
      <c r="J52" s="48">
        <f>8.36*1.2</f>
        <v>10.031999999999998</v>
      </c>
      <c r="K52" s="48">
        <f>8.09*1.2</f>
        <v>9.7080000000000002</v>
      </c>
      <c r="L52" s="48">
        <f>7.83*1.2</f>
        <v>9.395999999999999</v>
      </c>
      <c r="M52" s="48">
        <f>7.57*1.2</f>
        <v>9.0839999999999996</v>
      </c>
      <c r="N52" s="48">
        <f>7.18*1.2</f>
        <v>8.6159999999999997</v>
      </c>
      <c r="O52" s="45">
        <f>E52*G52</f>
        <v>2780.9999999999995</v>
      </c>
      <c r="P52" s="45">
        <f>E52*H52</f>
        <v>2660.9999999999995</v>
      </c>
      <c r="Q52" s="45">
        <f>E52*I52</f>
        <v>2586</v>
      </c>
      <c r="R52" s="45">
        <f>E52*J52</f>
        <v>2507.9999999999995</v>
      </c>
      <c r="S52" s="45">
        <f>E52*K52</f>
        <v>2427</v>
      </c>
      <c r="T52" s="45">
        <f>E52*L52</f>
        <v>2348.9999999999995</v>
      </c>
      <c r="U52" s="45">
        <f>E52*M52</f>
        <v>2271</v>
      </c>
      <c r="V52" s="45">
        <f>E52*M52</f>
        <v>2271</v>
      </c>
    </row>
    <row r="53" spans="1:22" ht="15.75" customHeight="1">
      <c r="B53" s="25" t="s">
        <v>162</v>
      </c>
      <c r="C53" s="25" t="s">
        <v>13</v>
      </c>
      <c r="D53" s="25" t="s">
        <v>203</v>
      </c>
      <c r="E53" s="25">
        <v>250</v>
      </c>
      <c r="F53" s="45">
        <f>550*1.2</f>
        <v>660</v>
      </c>
      <c r="G53" s="48">
        <f>15.44*1.2</f>
        <v>18.527999999999999</v>
      </c>
      <c r="H53" s="48">
        <f>15.2*1.2</f>
        <v>18.239999999999998</v>
      </c>
      <c r="I53" s="48">
        <f>15.2*1.2</f>
        <v>18.239999999999998</v>
      </c>
      <c r="J53" s="48">
        <f>14.97*1.2</f>
        <v>17.963999999999999</v>
      </c>
      <c r="K53" s="48">
        <f>14.73*1.2</f>
        <v>17.675999999999998</v>
      </c>
      <c r="L53" s="48">
        <f>14.26*1.2</f>
        <v>17.111999999999998</v>
      </c>
      <c r="M53" s="48">
        <f>14.26*1.2</f>
        <v>17.111999999999998</v>
      </c>
      <c r="N53" s="48">
        <f>13.78*1.2</f>
        <v>16.535999999999998</v>
      </c>
      <c r="O53" s="45">
        <f>E53*G53</f>
        <v>4632</v>
      </c>
      <c r="P53" s="45">
        <f>E53*H53</f>
        <v>4560</v>
      </c>
      <c r="Q53" s="45">
        <f>E53*I53</f>
        <v>4560</v>
      </c>
      <c r="R53" s="45">
        <f>E53*J53</f>
        <v>4491</v>
      </c>
      <c r="S53" s="45">
        <f>E53*K53</f>
        <v>4419</v>
      </c>
      <c r="T53" s="45">
        <f>E53*L53</f>
        <v>4278</v>
      </c>
      <c r="U53" s="45">
        <f>E53*M53</f>
        <v>4278</v>
      </c>
      <c r="V53" s="59" t="s">
        <v>160</v>
      </c>
    </row>
    <row r="54" spans="1:22" ht="15.75" customHeight="1">
      <c r="B54" s="25" t="s">
        <v>163</v>
      </c>
      <c r="C54" s="25" t="s">
        <v>13</v>
      </c>
      <c r="D54" s="25" t="s">
        <v>206</v>
      </c>
      <c r="E54" s="25">
        <v>250</v>
      </c>
      <c r="F54" s="45">
        <f>550*1.2</f>
        <v>660</v>
      </c>
      <c r="G54" s="48">
        <f>18.88*1.2</f>
        <v>22.655999999999999</v>
      </c>
      <c r="H54" s="48">
        <f>18.59*1.2</f>
        <v>22.308</v>
      </c>
      <c r="I54" s="48">
        <f>18.37*1.2</f>
        <v>22.044</v>
      </c>
      <c r="J54" s="48">
        <f>18.17*1.2</f>
        <v>21.804000000000002</v>
      </c>
      <c r="K54" s="48">
        <f>17.93*1.2</f>
        <v>21.515999999999998</v>
      </c>
      <c r="L54" s="48">
        <f>17.69*1.2</f>
        <v>21.228000000000002</v>
      </c>
      <c r="M54" s="48">
        <f>17.45*1.2</f>
        <v>20.939999999999998</v>
      </c>
      <c r="N54" s="48">
        <f>16.98*1.2</f>
        <v>20.376000000000001</v>
      </c>
      <c r="O54" s="45">
        <f>E54*G54</f>
        <v>5664</v>
      </c>
      <c r="P54" s="45">
        <f>E54*H54</f>
        <v>5577</v>
      </c>
      <c r="Q54" s="45">
        <f>E54*I54</f>
        <v>5511</v>
      </c>
      <c r="R54" s="45">
        <f>E54*J54</f>
        <v>5451.0000000000009</v>
      </c>
      <c r="S54" s="45">
        <f>E54*K54</f>
        <v>5379</v>
      </c>
      <c r="T54" s="45">
        <f>E54*L54</f>
        <v>5307</v>
      </c>
      <c r="U54" s="45">
        <f>E54*M54</f>
        <v>5234.9999999999991</v>
      </c>
      <c r="V54" s="45">
        <f>E54*N54</f>
        <v>5094</v>
      </c>
    </row>
    <row r="55" spans="1:22" s="11" customFormat="1" ht="21.75" customHeight="1">
      <c r="B55" s="78" t="s">
        <v>95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10"/>
      <c r="R55" s="10"/>
    </row>
    <row r="56" spans="1:22" s="11" customFormat="1" ht="33" customHeight="1">
      <c r="B56" s="60"/>
      <c r="C56" s="61" t="s">
        <v>29</v>
      </c>
      <c r="D56" s="61" t="s">
        <v>30</v>
      </c>
      <c r="E56" s="61" t="s">
        <v>31</v>
      </c>
      <c r="F56" s="61" t="s">
        <v>32</v>
      </c>
      <c r="G56" s="61" t="s">
        <v>33</v>
      </c>
      <c r="H56" s="61" t="s">
        <v>34</v>
      </c>
      <c r="I56" s="61" t="s">
        <v>35</v>
      </c>
      <c r="J56" s="61" t="s">
        <v>36</v>
      </c>
      <c r="K56" s="61" t="s">
        <v>37</v>
      </c>
      <c r="L56" s="61" t="s">
        <v>38</v>
      </c>
      <c r="M56" s="61" t="s">
        <v>39</v>
      </c>
      <c r="N56" s="61" t="s">
        <v>40</v>
      </c>
      <c r="O56" s="61" t="s">
        <v>41</v>
      </c>
      <c r="P56" s="62" t="s">
        <v>42</v>
      </c>
      <c r="Q56" s="10"/>
      <c r="R56" s="10"/>
    </row>
    <row r="57" spans="1:22" s="11" customFormat="1" ht="30" customHeight="1">
      <c r="B57" s="63" t="s">
        <v>43</v>
      </c>
      <c r="C57" s="64" t="s">
        <v>44</v>
      </c>
      <c r="D57" s="64" t="s">
        <v>45</v>
      </c>
      <c r="E57" s="64" t="s">
        <v>46</v>
      </c>
      <c r="F57" s="64" t="s">
        <v>47</v>
      </c>
      <c r="G57" s="64" t="s">
        <v>48</v>
      </c>
      <c r="H57" s="64" t="s">
        <v>49</v>
      </c>
      <c r="I57" s="64" t="s">
        <v>50</v>
      </c>
      <c r="J57" s="64" t="s">
        <v>51</v>
      </c>
      <c r="K57" s="64" t="s">
        <v>52</v>
      </c>
      <c r="L57" s="64" t="s">
        <v>53</v>
      </c>
      <c r="M57" s="64" t="s">
        <v>54</v>
      </c>
      <c r="N57" s="64" t="s">
        <v>55</v>
      </c>
      <c r="O57" s="64" t="s">
        <v>56</v>
      </c>
      <c r="P57" s="64" t="s">
        <v>57</v>
      </c>
      <c r="Q57" s="10"/>
      <c r="R57" s="10"/>
    </row>
    <row r="58" spans="1:22" s="11" customFormat="1" ht="28.5" customHeight="1">
      <c r="B58" s="63" t="s">
        <v>58</v>
      </c>
      <c r="C58" s="64" t="s">
        <v>59</v>
      </c>
      <c r="D58" s="65" t="s">
        <v>60</v>
      </c>
      <c r="E58" s="65" t="s">
        <v>61</v>
      </c>
      <c r="F58" s="65" t="s">
        <v>62</v>
      </c>
      <c r="G58" s="65" t="s">
        <v>63</v>
      </c>
      <c r="H58" s="65" t="s">
        <v>64</v>
      </c>
      <c r="I58" s="65" t="s">
        <v>64</v>
      </c>
      <c r="J58" s="65" t="s">
        <v>65</v>
      </c>
      <c r="K58" s="65" t="s">
        <v>66</v>
      </c>
      <c r="L58" s="65" t="s">
        <v>66</v>
      </c>
      <c r="M58" s="65" t="s">
        <v>178</v>
      </c>
      <c r="N58" s="65" t="s">
        <v>68</v>
      </c>
      <c r="O58" s="65" t="s">
        <v>69</v>
      </c>
      <c r="P58" s="65" t="s">
        <v>70</v>
      </c>
      <c r="Q58" s="10"/>
      <c r="R58" s="10"/>
    </row>
    <row r="59" spans="1:22" s="11" customFormat="1" ht="40.5" customHeight="1">
      <c r="B59" s="63" t="s">
        <v>71</v>
      </c>
      <c r="C59" s="66">
        <v>1.3888888888888888E-2</v>
      </c>
      <c r="D59" s="66">
        <v>2.0833333333333332E-2</v>
      </c>
      <c r="E59" s="66">
        <v>2.0833333333333332E-2</v>
      </c>
      <c r="F59" s="66">
        <v>2.0833333333333332E-2</v>
      </c>
      <c r="G59" s="66">
        <v>2.0833333333333332E-2</v>
      </c>
      <c r="H59" s="66">
        <v>2.0833333333333332E-2</v>
      </c>
      <c r="I59" s="66">
        <v>2.0833333333333332E-2</v>
      </c>
      <c r="J59" s="66">
        <v>2.0833333333333332E-2</v>
      </c>
      <c r="K59" s="66">
        <v>4.1666666666666664E-2</v>
      </c>
      <c r="L59" s="66">
        <v>4.1666666666666664E-2</v>
      </c>
      <c r="M59" s="66">
        <v>8.3333333333333329E-2</v>
      </c>
      <c r="N59" s="66">
        <v>8.3333333333333329E-2</v>
      </c>
      <c r="O59" s="66">
        <v>8.3333333333333329E-2</v>
      </c>
      <c r="P59" s="66">
        <v>0.125</v>
      </c>
      <c r="Q59" s="10"/>
      <c r="R59" s="10"/>
    </row>
    <row r="60" spans="1:22" s="11" customFormat="1" ht="19.5" customHeight="1">
      <c r="B60" s="67" t="s">
        <v>72</v>
      </c>
      <c r="C60" s="68" t="s">
        <v>179</v>
      </c>
      <c r="D60" s="68" t="s">
        <v>197</v>
      </c>
      <c r="E60" s="68" t="s">
        <v>180</v>
      </c>
      <c r="F60" s="68" t="s">
        <v>181</v>
      </c>
      <c r="G60" s="68" t="s">
        <v>182</v>
      </c>
      <c r="H60" s="68" t="s">
        <v>183</v>
      </c>
      <c r="I60" s="68" t="s">
        <v>184</v>
      </c>
      <c r="J60" s="68" t="s">
        <v>185</v>
      </c>
      <c r="K60" s="68" t="s">
        <v>186</v>
      </c>
      <c r="L60" s="68">
        <f>6400*(100%+25%)</f>
        <v>8000</v>
      </c>
      <c r="M60" s="68" t="s">
        <v>187</v>
      </c>
      <c r="N60" s="68" t="s">
        <v>188</v>
      </c>
      <c r="O60" s="68" t="s">
        <v>189</v>
      </c>
      <c r="P60" s="68" t="s">
        <v>190</v>
      </c>
      <c r="Q60" s="10"/>
      <c r="R60" s="10"/>
    </row>
    <row r="61" spans="1:22" s="11" customFormat="1" ht="42" customHeight="1">
      <c r="B61" s="63" t="s">
        <v>76</v>
      </c>
      <c r="C61" s="69">
        <f t="shared" ref="C61:J61" si="9">600*(100%+10%)</f>
        <v>660</v>
      </c>
      <c r="D61" s="69">
        <f t="shared" si="9"/>
        <v>660</v>
      </c>
      <c r="E61" s="69">
        <f t="shared" si="9"/>
        <v>660</v>
      </c>
      <c r="F61" s="69">
        <f t="shared" si="9"/>
        <v>660</v>
      </c>
      <c r="G61" s="69">
        <f t="shared" si="9"/>
        <v>660</v>
      </c>
      <c r="H61" s="69">
        <f t="shared" si="9"/>
        <v>660</v>
      </c>
      <c r="I61" s="69">
        <f t="shared" si="9"/>
        <v>660</v>
      </c>
      <c r="J61" s="69">
        <f t="shared" si="9"/>
        <v>660</v>
      </c>
      <c r="K61" s="69">
        <f>1000*(100%+10%)</f>
        <v>1100</v>
      </c>
      <c r="L61" s="69">
        <f>1000*(100%+10%)</f>
        <v>1100</v>
      </c>
      <c r="M61" s="69">
        <f>1000*(100%+10%)</f>
        <v>1100</v>
      </c>
      <c r="N61" s="69">
        <f>1500*(100%+10%)</f>
        <v>1650.0000000000002</v>
      </c>
      <c r="O61" s="69">
        <f>1500*(100%+10%)</f>
        <v>1650.0000000000002</v>
      </c>
      <c r="P61" s="69">
        <f>1500*(100%+10%)</f>
        <v>1650.0000000000002</v>
      </c>
      <c r="Q61" s="10"/>
      <c r="R61" s="10"/>
    </row>
    <row r="62" spans="1:22" s="11" customFormat="1" ht="28.5" customHeight="1">
      <c r="B62" s="28" t="s">
        <v>145</v>
      </c>
      <c r="C62" s="43" t="s">
        <v>191</v>
      </c>
      <c r="D62" s="43" t="s">
        <v>191</v>
      </c>
      <c r="E62" s="43" t="s">
        <v>192</v>
      </c>
      <c r="F62" s="43" t="s">
        <v>193</v>
      </c>
      <c r="G62" s="43" t="s">
        <v>193</v>
      </c>
      <c r="H62" s="44">
        <v>34</v>
      </c>
      <c r="I62" s="44">
        <v>34</v>
      </c>
      <c r="J62" s="44">
        <v>34</v>
      </c>
      <c r="K62" s="44">
        <v>34</v>
      </c>
      <c r="L62" s="43" t="s">
        <v>194</v>
      </c>
      <c r="M62" s="43" t="s">
        <v>195</v>
      </c>
      <c r="N62" s="44">
        <f>48*(100%+20%)</f>
        <v>57.599999999999994</v>
      </c>
      <c r="O62" s="44">
        <f>60*(100%+20%)</f>
        <v>72</v>
      </c>
      <c r="P62" s="32">
        <v>80</v>
      </c>
      <c r="Q62" s="10"/>
      <c r="R62" s="10"/>
    </row>
    <row r="63" spans="1:22" ht="18">
      <c r="A63" s="11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8"/>
      <c r="Q63" s="10"/>
      <c r="R63" s="10"/>
      <c r="S63" s="11"/>
      <c r="T63" s="11"/>
      <c r="U63" s="11"/>
      <c r="V63" s="11"/>
    </row>
    <row r="64" spans="1:22" ht="28.5" customHeight="1">
      <c r="A64" s="8"/>
      <c r="B64" s="8" t="s">
        <v>16</v>
      </c>
      <c r="V64" s="8"/>
    </row>
    <row r="65" spans="1:24" ht="15.75" customHeight="1">
      <c r="B65" s="74" t="s">
        <v>164</v>
      </c>
      <c r="C65" s="22" t="s">
        <v>0</v>
      </c>
      <c r="D65" s="22" t="s">
        <v>2</v>
      </c>
      <c r="E65" s="22" t="s">
        <v>4</v>
      </c>
      <c r="F65" s="73" t="s">
        <v>6</v>
      </c>
      <c r="G65" s="75" t="s">
        <v>7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</row>
    <row r="66" spans="1:24" ht="15.75" customHeight="1">
      <c r="B66" s="74"/>
      <c r="C66" s="22" t="s">
        <v>1</v>
      </c>
      <c r="D66" s="22" t="s">
        <v>3</v>
      </c>
      <c r="E66" s="22" t="s">
        <v>5</v>
      </c>
      <c r="F66" s="73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</row>
    <row r="67" spans="1:24" ht="30">
      <c r="B67" s="74"/>
      <c r="C67" s="23"/>
      <c r="D67" s="23"/>
      <c r="E67" s="23"/>
      <c r="F67" s="24" t="s">
        <v>8</v>
      </c>
      <c r="G67" s="25" t="s">
        <v>146</v>
      </c>
      <c r="H67" s="25" t="s">
        <v>147</v>
      </c>
      <c r="I67" s="25" t="s">
        <v>148</v>
      </c>
      <c r="J67" s="25" t="s">
        <v>149</v>
      </c>
      <c r="K67" s="25" t="s">
        <v>150</v>
      </c>
      <c r="L67" s="25" t="s">
        <v>151</v>
      </c>
      <c r="M67" s="25" t="s">
        <v>152</v>
      </c>
      <c r="N67" s="25" t="s">
        <v>153</v>
      </c>
      <c r="O67" s="25" t="s">
        <v>154</v>
      </c>
      <c r="P67" s="25" t="s">
        <v>155</v>
      </c>
      <c r="Q67" s="25" t="s">
        <v>9</v>
      </c>
      <c r="R67" s="25" t="s">
        <v>156</v>
      </c>
      <c r="S67" s="25" t="s">
        <v>157</v>
      </c>
      <c r="T67" s="25" t="s">
        <v>10</v>
      </c>
      <c r="U67" s="25" t="s">
        <v>158</v>
      </c>
      <c r="V67" s="25" t="s">
        <v>159</v>
      </c>
    </row>
    <row r="68" spans="1:24" ht="15.75" customHeight="1">
      <c r="B68" s="25" t="s">
        <v>161</v>
      </c>
      <c r="C68" s="25" t="s">
        <v>13</v>
      </c>
      <c r="D68" s="25"/>
      <c r="E68" s="25">
        <v>250</v>
      </c>
      <c r="F68" s="45">
        <f>500*1.2</f>
        <v>600</v>
      </c>
      <c r="G68" s="48">
        <f>10.69*1.2</f>
        <v>12.827999999999999</v>
      </c>
      <c r="H68" s="48">
        <f>10.45*1.2</f>
        <v>12.54</v>
      </c>
      <c r="I68" s="48">
        <f>10.2*1.2</f>
        <v>12.239999999999998</v>
      </c>
      <c r="J68" s="48">
        <f>9.97*1.2</f>
        <v>11.964</v>
      </c>
      <c r="K68" s="48">
        <f>9.73*1.2</f>
        <v>11.676</v>
      </c>
      <c r="L68" s="48">
        <f>9.5*1.2</f>
        <v>11.4</v>
      </c>
      <c r="M68" s="48">
        <f>9.26*1.2</f>
        <v>11.112</v>
      </c>
      <c r="N68" s="48">
        <f>9*1.2</f>
        <v>10.799999999999999</v>
      </c>
      <c r="O68" s="45">
        <f>E68*G68</f>
        <v>3207</v>
      </c>
      <c r="P68" s="45">
        <f>E68*H68</f>
        <v>3135</v>
      </c>
      <c r="Q68" s="45">
        <f>E68*I68</f>
        <v>3059.9999999999995</v>
      </c>
      <c r="R68" s="45">
        <f>E68*J68</f>
        <v>2991</v>
      </c>
      <c r="S68" s="45">
        <f>E68*K68</f>
        <v>2919</v>
      </c>
      <c r="T68" s="45">
        <f>E68*L68</f>
        <v>2850</v>
      </c>
      <c r="U68" s="45">
        <f>E68*M68</f>
        <v>2778</v>
      </c>
      <c r="V68" s="45">
        <f>E68*N68</f>
        <v>2699.9999999999995</v>
      </c>
    </row>
    <row r="69" spans="1:24" ht="15.75" customHeight="1">
      <c r="B69" s="25" t="s">
        <v>162</v>
      </c>
      <c r="C69" s="25" t="s">
        <v>13</v>
      </c>
      <c r="D69" s="25"/>
      <c r="E69" s="25">
        <v>250</v>
      </c>
      <c r="F69" s="45">
        <f>600*1.2</f>
        <v>720</v>
      </c>
      <c r="G69" s="48">
        <f>6.15*1.2</f>
        <v>7.38</v>
      </c>
      <c r="H69" s="48">
        <f>6.02*1.2</f>
        <v>7.2239999999999993</v>
      </c>
      <c r="I69" s="48">
        <f>6.02*1.2</f>
        <v>7.2239999999999993</v>
      </c>
      <c r="J69" s="48">
        <f>5.6*1.2</f>
        <v>6.72</v>
      </c>
      <c r="K69" s="48">
        <f>5.33*1.2</f>
        <v>6.3959999999999999</v>
      </c>
      <c r="L69" s="48">
        <f>5.33*1.2</f>
        <v>6.3959999999999999</v>
      </c>
      <c r="M69" s="48">
        <f>4.92*1.2</f>
        <v>5.9039999999999999</v>
      </c>
      <c r="N69" s="48">
        <f>4.92*1.2</f>
        <v>5.9039999999999999</v>
      </c>
      <c r="O69" s="45">
        <f>E69*G69</f>
        <v>1845</v>
      </c>
      <c r="P69" s="45">
        <f>E69*H69</f>
        <v>1805.9999999999998</v>
      </c>
      <c r="Q69" s="45">
        <f>E69*I69</f>
        <v>1805.9999999999998</v>
      </c>
      <c r="R69" s="45">
        <f>E69*J69</f>
        <v>1680</v>
      </c>
      <c r="S69" s="45">
        <f>E69*K69</f>
        <v>1599</v>
      </c>
      <c r="T69" s="45">
        <f>E69*L69</f>
        <v>1599</v>
      </c>
      <c r="U69" s="45">
        <f>E69*M69</f>
        <v>1476</v>
      </c>
      <c r="V69" s="45">
        <f>E69*N69</f>
        <v>1476</v>
      </c>
    </row>
    <row r="70" spans="1:24" ht="15.75" customHeight="1">
      <c r="B70" s="25" t="s">
        <v>171</v>
      </c>
      <c r="C70" s="25" t="s">
        <v>13</v>
      </c>
      <c r="D70" s="25"/>
      <c r="E70" s="25">
        <v>250</v>
      </c>
      <c r="F70" s="45">
        <f>600*1.2</f>
        <v>720</v>
      </c>
      <c r="G70" s="48">
        <f>13.06*1.2</f>
        <v>15.672000000000001</v>
      </c>
      <c r="H70" s="48">
        <f>12.82*1.2</f>
        <v>15.384</v>
      </c>
      <c r="I70" s="48">
        <f>12.82*1.2</f>
        <v>15.384</v>
      </c>
      <c r="J70" s="48">
        <f>12.35*1.2</f>
        <v>14.819999999999999</v>
      </c>
      <c r="K70" s="48">
        <f>12.1*1.2</f>
        <v>14.52</v>
      </c>
      <c r="L70" s="48">
        <f>11.88*1.2</f>
        <v>14.256</v>
      </c>
      <c r="M70" s="48">
        <f>11.63*1.2</f>
        <v>13.956000000000001</v>
      </c>
      <c r="N70" s="48">
        <f>11.39*1.2</f>
        <v>13.668000000000001</v>
      </c>
      <c r="O70" s="45">
        <f>E70*G70</f>
        <v>3918</v>
      </c>
      <c r="P70" s="45">
        <f>E70*H70</f>
        <v>3846</v>
      </c>
      <c r="Q70" s="45">
        <f>E70*I70</f>
        <v>3846</v>
      </c>
      <c r="R70" s="45">
        <f>E70*J70</f>
        <v>3704.9999999999995</v>
      </c>
      <c r="S70" s="45">
        <f>E70*K70</f>
        <v>3630</v>
      </c>
      <c r="T70" s="45">
        <f>E70*L70</f>
        <v>3564</v>
      </c>
      <c r="U70" s="45">
        <f>E70*M70</f>
        <v>3489.0000000000005</v>
      </c>
      <c r="V70" s="45">
        <f>E70*N70</f>
        <v>3417.0000000000005</v>
      </c>
    </row>
    <row r="71" spans="1:24" s="11" customFormat="1" ht="21.75" customHeight="1">
      <c r="B71" s="78" t="s">
        <v>96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10"/>
      <c r="R71" s="10"/>
    </row>
    <row r="72" spans="1:24" s="11" customFormat="1" ht="33" customHeight="1">
      <c r="B72" s="26" t="s">
        <v>165</v>
      </c>
      <c r="C72" s="9" t="s">
        <v>29</v>
      </c>
      <c r="D72" s="9" t="s">
        <v>30</v>
      </c>
      <c r="E72" s="9" t="s">
        <v>31</v>
      </c>
      <c r="F72" s="9" t="s">
        <v>32</v>
      </c>
      <c r="G72" s="9" t="s">
        <v>33</v>
      </c>
      <c r="H72" s="9" t="s">
        <v>34</v>
      </c>
      <c r="I72" s="9" t="s">
        <v>35</v>
      </c>
      <c r="J72" s="9" t="s">
        <v>36</v>
      </c>
      <c r="K72" s="9" t="s">
        <v>37</v>
      </c>
      <c r="L72" s="9" t="s">
        <v>38</v>
      </c>
      <c r="M72" s="9" t="s">
        <v>39</v>
      </c>
      <c r="N72" s="9" t="s">
        <v>40</v>
      </c>
      <c r="O72" s="9" t="s">
        <v>41</v>
      </c>
      <c r="P72" s="27" t="s">
        <v>42</v>
      </c>
      <c r="Q72" s="10"/>
      <c r="R72" s="10"/>
    </row>
    <row r="73" spans="1:24" s="11" customFormat="1" ht="30" customHeight="1">
      <c r="B73" s="28" t="s">
        <v>43</v>
      </c>
      <c r="C73" s="12" t="s">
        <v>44</v>
      </c>
      <c r="D73" s="12" t="s">
        <v>45</v>
      </c>
      <c r="E73" s="12" t="s">
        <v>46</v>
      </c>
      <c r="F73" s="12" t="s">
        <v>47</v>
      </c>
      <c r="G73" s="12" t="s">
        <v>48</v>
      </c>
      <c r="H73" s="12" t="s">
        <v>49</v>
      </c>
      <c r="I73" s="12" t="s">
        <v>50</v>
      </c>
      <c r="J73" s="12" t="s">
        <v>51</v>
      </c>
      <c r="K73" s="12" t="s">
        <v>52</v>
      </c>
      <c r="L73" s="12" t="s">
        <v>53</v>
      </c>
      <c r="M73" s="12" t="s">
        <v>54</v>
      </c>
      <c r="N73" s="12" t="s">
        <v>55</v>
      </c>
      <c r="O73" s="12" t="s">
        <v>56</v>
      </c>
      <c r="P73" s="12" t="s">
        <v>57</v>
      </c>
      <c r="Q73" s="10"/>
      <c r="R73" s="10"/>
    </row>
    <row r="74" spans="1:24" s="11" customFormat="1" ht="28.5" customHeight="1">
      <c r="B74" s="28" t="s">
        <v>58</v>
      </c>
      <c r="C74" s="12" t="s">
        <v>59</v>
      </c>
      <c r="D74" s="13" t="s">
        <v>60</v>
      </c>
      <c r="E74" s="13" t="s">
        <v>61</v>
      </c>
      <c r="F74" s="13" t="s">
        <v>62</v>
      </c>
      <c r="G74" s="13" t="s">
        <v>63</v>
      </c>
      <c r="H74" s="13" t="s">
        <v>64</v>
      </c>
      <c r="I74" s="13" t="s">
        <v>64</v>
      </c>
      <c r="J74" s="13" t="s">
        <v>65</v>
      </c>
      <c r="K74" s="13" t="s">
        <v>66</v>
      </c>
      <c r="L74" s="13" t="s">
        <v>66</v>
      </c>
      <c r="M74" s="13" t="s">
        <v>67</v>
      </c>
      <c r="N74" s="13" t="s">
        <v>68</v>
      </c>
      <c r="O74" s="13" t="s">
        <v>69</v>
      </c>
      <c r="P74" s="13" t="s">
        <v>70</v>
      </c>
      <c r="Q74" s="10"/>
      <c r="R74" s="10"/>
    </row>
    <row r="75" spans="1:24" s="11" customFormat="1" ht="28.5" customHeight="1">
      <c r="B75" s="28" t="s">
        <v>71</v>
      </c>
      <c r="C75" s="29">
        <v>1.3888888888888888E-2</v>
      </c>
      <c r="D75" s="29">
        <v>2.0833333333333332E-2</v>
      </c>
      <c r="E75" s="29">
        <v>2.0833333333333332E-2</v>
      </c>
      <c r="F75" s="29">
        <v>2.0833333333333332E-2</v>
      </c>
      <c r="G75" s="29">
        <v>2.0833333333333332E-2</v>
      </c>
      <c r="H75" s="29">
        <v>2.0833333333333332E-2</v>
      </c>
      <c r="I75" s="29">
        <v>2.0833333333333332E-2</v>
      </c>
      <c r="J75" s="29">
        <v>2.0833333333333332E-2</v>
      </c>
      <c r="K75" s="29">
        <v>4.1666666666666664E-2</v>
      </c>
      <c r="L75" s="29">
        <v>4.1666666666666664E-2</v>
      </c>
      <c r="M75" s="29">
        <v>8.3333333333333329E-2</v>
      </c>
      <c r="N75" s="29">
        <v>8.3333333333333329E-2</v>
      </c>
      <c r="O75" s="29">
        <v>8.3333333333333329E-2</v>
      </c>
      <c r="P75" s="29">
        <v>0.125</v>
      </c>
      <c r="Q75" s="10"/>
      <c r="R75" s="10"/>
    </row>
    <row r="76" spans="1:24" s="11" customFormat="1" ht="19.5" customHeight="1">
      <c r="B76" s="28" t="s">
        <v>72</v>
      </c>
      <c r="C76" s="30">
        <v>832</v>
      </c>
      <c r="D76" s="30">
        <v>832</v>
      </c>
      <c r="E76" s="30">
        <v>1010</v>
      </c>
      <c r="F76" s="30">
        <v>1307</v>
      </c>
      <c r="G76" s="30">
        <v>1544</v>
      </c>
      <c r="H76" s="30">
        <v>1782</v>
      </c>
      <c r="I76" s="30">
        <v>2020</v>
      </c>
      <c r="J76" s="30">
        <v>2376</v>
      </c>
      <c r="K76" s="30">
        <v>2970</v>
      </c>
      <c r="L76" s="30">
        <v>3800</v>
      </c>
      <c r="M76" s="30">
        <v>5465</v>
      </c>
      <c r="N76" s="30">
        <v>7128</v>
      </c>
      <c r="O76" s="30">
        <v>10692</v>
      </c>
      <c r="P76" s="31">
        <v>13100</v>
      </c>
      <c r="Q76" s="10"/>
      <c r="R76" s="10"/>
    </row>
    <row r="77" spans="1:24" s="11" customFormat="1" ht="31.5" customHeight="1">
      <c r="B77" s="28" t="s">
        <v>76</v>
      </c>
      <c r="C77" s="15">
        <v>600</v>
      </c>
      <c r="D77" s="15">
        <v>600</v>
      </c>
      <c r="E77" s="15">
        <v>600</v>
      </c>
      <c r="F77" s="15">
        <v>600</v>
      </c>
      <c r="G77" s="15">
        <v>600</v>
      </c>
      <c r="H77" s="15">
        <v>600</v>
      </c>
      <c r="I77" s="15">
        <v>600</v>
      </c>
      <c r="J77" s="15">
        <v>600</v>
      </c>
      <c r="K77" s="15">
        <v>1000</v>
      </c>
      <c r="L77" s="15">
        <v>1000</v>
      </c>
      <c r="M77" s="15">
        <v>1000</v>
      </c>
      <c r="N77" s="15">
        <v>1500</v>
      </c>
      <c r="O77" s="15">
        <v>1500</v>
      </c>
      <c r="P77" s="15">
        <v>1500</v>
      </c>
      <c r="Q77" s="10"/>
      <c r="R77" s="10"/>
    </row>
    <row r="78" spans="1:24" s="11" customFormat="1" ht="28.5" customHeight="1">
      <c r="B78" s="28" t="s">
        <v>144</v>
      </c>
      <c r="C78" s="32">
        <v>21.5</v>
      </c>
      <c r="D78" s="32">
        <v>21.5</v>
      </c>
      <c r="E78" s="32">
        <v>21.5</v>
      </c>
      <c r="F78" s="32">
        <v>23.5</v>
      </c>
      <c r="G78" s="32">
        <v>23.5</v>
      </c>
      <c r="H78" s="44">
        <v>27</v>
      </c>
      <c r="I78" s="44">
        <v>27</v>
      </c>
      <c r="J78" s="44">
        <v>27</v>
      </c>
      <c r="K78" s="44">
        <v>27</v>
      </c>
      <c r="L78" s="32">
        <v>32.5</v>
      </c>
      <c r="M78" s="32">
        <v>32.5</v>
      </c>
      <c r="N78" s="44">
        <v>43</v>
      </c>
      <c r="O78" s="44">
        <v>54</v>
      </c>
      <c r="P78" s="32">
        <v>60</v>
      </c>
      <c r="Q78" s="10"/>
      <c r="R78" s="10"/>
    </row>
    <row r="79" spans="1:24" ht="9" customHeight="1">
      <c r="A79" s="11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8"/>
      <c r="Q79" s="10"/>
      <c r="R79" s="10"/>
      <c r="S79" s="11"/>
      <c r="T79" s="11"/>
      <c r="U79" s="11"/>
      <c r="V79" s="11"/>
      <c r="W79" s="11"/>
      <c r="X79" s="16"/>
    </row>
    <row r="80" spans="1:24" ht="15.75" customHeight="1">
      <c r="B80" s="77" t="s">
        <v>17</v>
      </c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2:19" ht="15.75" customHeight="1">
      <c r="B81" s="77" t="s">
        <v>18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2:19" ht="15.75" customHeight="1">
      <c r="B82" s="77" t="s">
        <v>19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</row>
    <row r="83" spans="2:19" ht="15.75" customHeight="1">
      <c r="B83" s="77" t="s">
        <v>20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2:19" ht="15.75" customHeight="1">
      <c r="B84" s="77" t="s">
        <v>21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2:19" ht="15.75" customHeight="1">
      <c r="B85" s="77" t="s">
        <v>22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2:19" ht="15.75" customHeight="1">
      <c r="B86" s="77" t="s">
        <v>23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2:19" ht="15.75" customHeight="1">
      <c r="B87" s="77" t="s">
        <v>24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2:19" ht="15.75" customHeight="1">
      <c r="B88" s="77" t="s">
        <v>166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2:19" ht="15.75" customHeight="1">
      <c r="B89" s="77" t="s">
        <v>168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2:19" ht="15.75" customHeight="1">
      <c r="B90" s="77" t="s">
        <v>167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</row>
    <row r="91" spans="2:19" ht="15.75" customHeight="1">
      <c r="B91" s="77" t="s">
        <v>25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</row>
    <row r="92" spans="2:19" ht="9.75" customHeight="1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"/>
      <c r="R92" s="3"/>
      <c r="S92" s="3"/>
    </row>
    <row r="93" spans="2:19" s="11" customFormat="1" ht="15.75" customHeight="1">
      <c r="B93" s="77" t="s">
        <v>79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2:19" s="11" customFormat="1" ht="15.75" customHeight="1">
      <c r="B94" s="77" t="s">
        <v>80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2:19" s="11" customFormat="1" ht="15.75" customHeight="1">
      <c r="B95" s="77" t="s">
        <v>81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2:19" s="11" customFormat="1" ht="15.75" customHeight="1">
      <c r="B96" s="77" t="s">
        <v>82</v>
      </c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2:16" s="11" customFormat="1" ht="15.75" customHeight="1">
      <c r="B97" s="77" t="s">
        <v>83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2:16" s="11" customFormat="1" ht="15.75" customHeight="1">
      <c r="B98" s="77" t="s">
        <v>84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2:16" s="11" customFormat="1" ht="15.75" customHeight="1">
      <c r="B99" s="77" t="s">
        <v>85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</row>
    <row r="100" spans="2:16" s="11" customFormat="1" ht="15.75" customHeight="1">
      <c r="B100" s="77" t="s">
        <v>86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</row>
    <row r="101" spans="2:16" s="11" customFormat="1" ht="15.75" customHeight="1">
      <c r="B101" s="77" t="s">
        <v>87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2:16" s="11" customFormat="1" ht="15.75" customHeight="1">
      <c r="B102" s="77" t="s">
        <v>88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2:16" s="11" customFormat="1" ht="15.75" customHeight="1">
      <c r="B103" s="77" t="s">
        <v>89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2:16" s="11" customFormat="1" ht="15.75" customHeight="1">
      <c r="B104" s="77" t="s">
        <v>90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2:16" s="11" customFormat="1" ht="15.75" customHeight="1">
      <c r="B105" s="77" t="s">
        <v>91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2:16" s="11" customFormat="1" ht="15.75" customHeight="1">
      <c r="B106" s="77" t="s">
        <v>92</v>
      </c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2:16" s="11" customFormat="1" ht="15.75" customHeight="1">
      <c r="B107" s="77" t="s">
        <v>169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2:16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6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6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6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</sheetData>
  <mergeCells count="51">
    <mergeCell ref="B105:P105"/>
    <mergeCell ref="B106:P106"/>
    <mergeCell ref="B107:P107"/>
    <mergeCell ref="B96:P96"/>
    <mergeCell ref="B97:P97"/>
    <mergeCell ref="B98:P98"/>
    <mergeCell ref="B99:P99"/>
    <mergeCell ref="B100:P100"/>
    <mergeCell ref="B101:P101"/>
    <mergeCell ref="B102:P102"/>
    <mergeCell ref="B103:P103"/>
    <mergeCell ref="B104:P104"/>
    <mergeCell ref="B85:P85"/>
    <mergeCell ref="B86:P86"/>
    <mergeCell ref="B87:P87"/>
    <mergeCell ref="B88:P88"/>
    <mergeCell ref="B89:P89"/>
    <mergeCell ref="B90:P90"/>
    <mergeCell ref="B91:P91"/>
    <mergeCell ref="B93:P93"/>
    <mergeCell ref="B94:P94"/>
    <mergeCell ref="B95:P95"/>
    <mergeCell ref="B40:P40"/>
    <mergeCell ref="B55:P55"/>
    <mergeCell ref="B71:P71"/>
    <mergeCell ref="B27:P27"/>
    <mergeCell ref="B28:P28"/>
    <mergeCell ref="B29:P29"/>
    <mergeCell ref="B30:P30"/>
    <mergeCell ref="B31:P31"/>
    <mergeCell ref="B80:P80"/>
    <mergeCell ref="B81:P81"/>
    <mergeCell ref="B82:P82"/>
    <mergeCell ref="B83:P83"/>
    <mergeCell ref="B84:P84"/>
    <mergeCell ref="B3:E4"/>
    <mergeCell ref="B5:J5"/>
    <mergeCell ref="B33:B35"/>
    <mergeCell ref="F33:F34"/>
    <mergeCell ref="B65:B67"/>
    <mergeCell ref="F65:F66"/>
    <mergeCell ref="G65:V66"/>
    <mergeCell ref="B49:B51"/>
    <mergeCell ref="F49:F50"/>
    <mergeCell ref="G49:V50"/>
    <mergeCell ref="V41:V42"/>
    <mergeCell ref="G33:V34"/>
    <mergeCell ref="B8:B10"/>
    <mergeCell ref="F8:F9"/>
    <mergeCell ref="G8:V9"/>
    <mergeCell ref="B17:P17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2024-11-06T11:03:25Z</dcterms:modified>
</cp:coreProperties>
</file>